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32760" yWindow="32760" windowWidth="19200" windowHeight="8130" tabRatio="879" firstSheet="4" activeTab="6"/>
  </bookViews>
  <sheets>
    <sheet name="INSTRUCCIONES" sheetId="1" r:id="rId1"/>
    <sheet name="Información general" sheetId="2" r:id="rId2"/>
    <sheet name="Datos seguridad social" sheetId="3" r:id="rId3"/>
    <sheet name="Cálculos seguridad social" sheetId="4" r:id="rId4"/>
    <sheet name="Proyeccion de Planta de cargos" sheetId="5" r:id="rId5"/>
    <sheet name="Jubilados" sheetId="6" r:id="rId6"/>
    <sheet name="Datos a presupuestar" sheetId="7" r:id="rId7"/>
    <sheet name="Datos de desfinanciación" sheetId="8" r:id="rId8"/>
    <sheet name="Presupuesto equilibrado" sheetId="9" r:id="rId9"/>
    <sheet name="Certificado de mantenimiento" sheetId="10" r:id="rId10"/>
  </sheets>
  <externalReferences>
    <externalReference r:id="rId13"/>
  </externalReferences>
  <definedNames>
    <definedName name="_xlnm._FilterDatabase" localSheetId="5" hidden="1">'Jubilados'!$B$10:$I$65</definedName>
    <definedName name="_xlnm._FilterDatabase" localSheetId="4" hidden="1">'Proyeccion de Planta de cargos'!$P$1:$P$323</definedName>
    <definedName name="_xlfn.SUMIFS" hidden="1">#NAME?</definedName>
    <definedName name="Administrativos">'Datos seguridad social'!$C$5:$C$40</definedName>
    <definedName name="_xlnm.Print_Area" localSheetId="3">'Cálculos seguridad social'!$A$1:$I$34</definedName>
    <definedName name="_xlnm.Print_Area" localSheetId="9">'Certificado de mantenimiento'!$B$5:$N$39</definedName>
    <definedName name="_xlnm.Print_Area" localSheetId="6">'Datos a presupuestar'!$A$1:$C$391</definedName>
    <definedName name="_xlnm.Print_Area" localSheetId="7">'Datos de desfinanciación'!$A$1:$C$256</definedName>
    <definedName name="_xlnm.Print_Area" localSheetId="2">'Datos seguridad social'!$A$1:$I$41</definedName>
    <definedName name="_xlnm.Print_Area" localSheetId="1">'Información general'!$A$2:$F$78</definedName>
    <definedName name="_xlnm.Print_Area" localSheetId="5">'Jubilados'!$B$5:$I$65</definedName>
    <definedName name="_xlnm.Print_Area" localSheetId="8">'Presupuesto equilibrado'!$A$1:$C$395</definedName>
    <definedName name="_xlnm.Print_Area" localSheetId="4">'Proyeccion de Planta de cargos'!$B$6:$N$323</definedName>
    <definedName name="ARP_aportes">'Datos seguridad social'!$V$5:$V$40</definedName>
    <definedName name="asignacionbasica">'Datos seguridad social'!$J$5:$J$40</definedName>
    <definedName name="Asistenciales">'Datos seguridad social'!$D$5:$D$40</definedName>
    <definedName name="B">'[1]CXP'!$AJ$1:$AL$128</definedName>
    <definedName name="CCF_aportes">'Datos seguridad social'!$W$5:$W$40</definedName>
    <definedName name="CESANTIAS_aportes">'Datos seguridad social'!$S$5:$S$40</definedName>
    <definedName name="CESANTIAS_control">'Datos seguridad social'!$AG$5:$AG$40</definedName>
    <definedName name="EPS_aportes">'Datos seguridad social'!$T$5:$T$40</definedName>
    <definedName name="EPS_control">'Datos seguridad social'!$AE$5:$AE$40</definedName>
    <definedName name="Extras">'Datos seguridad social'!$K$5:$K$40</definedName>
    <definedName name="ICBF_aportes">'Datos seguridad social'!$X$5:$X$40</definedName>
    <definedName name="Numeros">'Proyeccion de Planta de cargos'!$B$404:$C$529</definedName>
    <definedName name="PENSION_aportes">'Datos seguridad social'!$U$5:$U$40</definedName>
    <definedName name="PENSION_control">'Datos seguridad social'!$AF$5:$AF$40</definedName>
    <definedName name="SENA_aportes">'Datos seguridad social'!$Y$5:$Y$40</definedName>
    <definedName name="_xlnm.Print_Titles" localSheetId="6">'Datos a presupuestar'!$6:$6</definedName>
    <definedName name="_xlnm.Print_Titles" localSheetId="7">'Datos de desfinanciación'!$6:$7</definedName>
    <definedName name="_xlnm.Print_Titles" localSheetId="2">'Datos seguridad social'!$3:$4</definedName>
    <definedName name="_xlnm.Print_Titles" localSheetId="5">'Jubilados'!$10:$10</definedName>
    <definedName name="_xlnm.Print_Titles" localSheetId="8">'Presupuesto equilibrado'!$6:$6</definedName>
    <definedName name="_xlnm.Print_Titles" localSheetId="4">'Proyeccion de Planta de cargos'!$8:$10</definedName>
  </definedNames>
  <calcPr fullCalcOnLoad="1"/>
</workbook>
</file>

<file path=xl/comments3.xml><?xml version="1.0" encoding="utf-8"?>
<comments xmlns="http://schemas.openxmlformats.org/spreadsheetml/2006/main">
  <authors>
    <author>Invitado</author>
    <author>Johana Andrea Mu?oz</author>
  </authors>
  <commentList>
    <comment ref="K1" authorId="0">
      <text>
        <r>
          <rPr>
            <sz val="9"/>
            <rFont val="Tahoma"/>
            <family val="2"/>
          </rPr>
          <t xml:space="preserve">Debe registrar cada cargo de la Planta de Cargos Vigente y desplegar los fondos a los que pertenece el empleado de acuerdo al listado de la hoja "Información general"
</t>
        </r>
      </text>
    </comment>
    <comment ref="A18" authorId="1">
      <text>
        <r>
          <rPr>
            <b/>
            <sz val="9"/>
            <rFont val="Tahoma"/>
            <family val="2"/>
          </rPr>
          <t>Johana Andrea Muñoz:
Donde se ingresa la bonificacion por coordinacion</t>
        </r>
      </text>
    </comment>
  </commentList>
</comments>
</file>

<file path=xl/comments7.xml><?xml version="1.0" encoding="utf-8"?>
<comments xmlns="http://schemas.openxmlformats.org/spreadsheetml/2006/main">
  <authors>
    <author>Un usuario de Microsoft Office satisfecho</author>
    <author>MARIA EUGENIA ZAPATA MARIN</author>
  </authors>
  <commentList>
    <comment ref="B10" authorId="0">
      <text>
        <r>
          <rPr>
            <sz val="8"/>
            <rFont val="Tahoma"/>
            <family val="2"/>
          </rPr>
          <t>DISPONIBILIDAD INICIAL
Como su nombre lo indica, corresponde a los saldo del balance "Disponible" a diciembre 31 de 2010 y corresponde a los saldos conciliados en Caja, Bancos, Inversiones Temporales, saldos en fondos de cesantías, Pensiones EPS y ARS que se ejecutarán en la vigencia a presupuestar.
Su valor tendrá que ajustarse una vez se conozca su valor real al cierre de los estados Financieros de Diciembre de la actual vigencia
Puede estimarse en el presupuesto Inicial mediante un flujo de fondos y ajustarse cuando se conzca el valor real.</t>
        </r>
      </text>
    </comment>
    <comment ref="B39" authorId="0">
      <text>
        <r>
          <rPr>
            <sz val="8"/>
            <rFont val="Tahoma"/>
            <family val="2"/>
          </rPr>
          <t xml:space="preserve">Este concepto hace parte del total de recursos para atender a la población pobre en lo no cubierto con subsidios a la demanda (Vinculados) y debe incluirse en el convenio con el Ente Territorial y justificarse vía facturación
</t>
        </r>
      </text>
    </comment>
    <comment ref="B78" authorId="0">
      <text>
        <r>
          <rPr>
            <sz val="8"/>
            <rFont val="Tahoma"/>
            <family val="2"/>
          </rPr>
          <t xml:space="preserve">Cuotas de Recuperación
 Se trata de los ingresos provenientes directamente de las personas sin capacidad de pago, no afiliadas a la Seguridad Social en salud, de acuerdo con los porcentajes establecidos por la Ley
</t>
        </r>
      </text>
    </comment>
    <comment ref="B125" authorId="0">
      <text>
        <r>
          <rPr>
            <sz val="8"/>
            <rFont val="Tahoma"/>
            <family val="2"/>
          </rPr>
          <t>Recuperación de Cartera
 Comprende los ingresos provenientes del recaudo de las cuentas por cobrar que tiene la Empresa, cuya causación es mayor de un año (cartera morosa).
Aqui no van las  Cuentas por cobrar del 2002, éstas  se incluyen en el presupuesto inicial de 2003 en el respectivo rubro</t>
        </r>
      </text>
    </comment>
    <comment ref="B360" authorId="0">
      <text>
        <r>
          <rPr>
            <sz val="8"/>
            <rFont val="Tahoma"/>
            <family val="2"/>
          </rPr>
          <t>Tener en cuenta que créditos deTesoreria no afectan presupuesto. Por este renglón únicamente se presupuestan obligaciones por créditos a más de un año de plazo.</t>
        </r>
      </text>
    </comment>
    <comment ref="B361" authorId="0">
      <text>
        <r>
          <rPr>
            <sz val="8"/>
            <rFont val="Tahoma"/>
            <family val="2"/>
          </rPr>
          <t>Esta apropiación del gasto incluye intereses por créditos tanto de Tesorería como a largo plazo</t>
        </r>
      </text>
    </comment>
    <comment ref="B382" authorId="0">
      <text>
        <r>
          <rPr>
            <sz val="8"/>
            <rFont val="Tahoma"/>
            <family val="2"/>
          </rPr>
          <t>FONDO DE LA VIVIENDA
El valor calculado para este renglón corresponde al porcentaje de Bienestar Social esstipulado en el acuerdo de creación del Fondo de Vivienda más los valores que se presupuesten como recuperaciones de creditos de vivienda y las saldos a diciembre 31 en disponibilidad incial.</t>
        </r>
      </text>
    </comment>
    <comment ref="B40" authorId="0">
      <text>
        <r>
          <rPr>
            <sz val="8"/>
            <rFont val="Tahoma"/>
            <family val="2"/>
          </rPr>
          <t>Este concepto hace parte del total de recursos para atender a la población pobre en lo no cubierto con subsidios a la demanda (Vinculados) y debe incluirse en el convenio con el Ente Territorial y justificarse vía facturación</t>
        </r>
      </text>
    </comment>
    <comment ref="B41" authorId="0">
      <text>
        <r>
          <rPr>
            <sz val="8"/>
            <rFont val="Tahoma"/>
            <family val="2"/>
          </rPr>
          <t>Este concepto hace parte del total de recursos para atender a la población pobre en lo no cubierto con subsidios a la demanda (Vinculados) y debe incluirse en el convenio con el Ente Territorial y justificarse vía facturación</t>
        </r>
      </text>
    </comment>
    <comment ref="C102" authorId="1">
      <text>
        <r>
          <rPr>
            <sz val="9"/>
            <rFont val="Tahoma"/>
            <family val="2"/>
          </rPr>
          <t xml:space="preserve">Los aportes patronales se presupuestan en prestación de servicios
</t>
        </r>
      </text>
    </comment>
  </commentList>
</comments>
</file>

<file path=xl/comments8.xml><?xml version="1.0" encoding="utf-8"?>
<comments xmlns="http://schemas.openxmlformats.org/spreadsheetml/2006/main">
  <authors>
    <author>Un usuario de Microsoft Office satisfecho</author>
  </authors>
  <commentList>
    <comment ref="B225" authorId="0">
      <text>
        <r>
          <rPr>
            <sz val="8"/>
            <rFont val="Tahoma"/>
            <family val="2"/>
          </rPr>
          <t>Tener en cuenta que créditos deTesoreria no afectan presupuesto. Por este renglón únicamente se presupuestan obligaciones por créditos a más de un año de plazo.</t>
        </r>
      </text>
    </comment>
    <comment ref="B226" authorId="0">
      <text>
        <r>
          <rPr>
            <sz val="8"/>
            <rFont val="Tahoma"/>
            <family val="2"/>
          </rPr>
          <t>Esta apropiación del gasto incluye intereses por créditos tanto de Tesorería como a largo plazo</t>
        </r>
      </text>
    </comment>
    <comment ref="B247" authorId="0">
      <text>
        <r>
          <rPr>
            <sz val="8"/>
            <rFont val="Tahoma"/>
            <family val="2"/>
          </rPr>
          <t>FONDO DE LA VIVIENDA
El valor calculado para este renglón corresponde al porcentaje de Bienestar Social esstipulado en el acuerdo de creación del Fondo de Vivienda más los valores que se presupuesten como recuperaciones de creditos de vivienda y las saldos a diciembre 31 en disponibilidad incial.</t>
        </r>
      </text>
    </comment>
  </commentList>
</comments>
</file>

<file path=xl/comments9.xml><?xml version="1.0" encoding="utf-8"?>
<comments xmlns="http://schemas.openxmlformats.org/spreadsheetml/2006/main">
  <authors>
    <author>Un usuario de Microsoft Office satisfecho</author>
  </authors>
  <commentList>
    <comment ref="B10" authorId="0">
      <text>
        <r>
          <rPr>
            <sz val="8"/>
            <rFont val="Tahoma"/>
            <family val="2"/>
          </rPr>
          <t>DISPONIBILIDAD INICIAL
Como su nombre lo indica, corresponde a los saldo del balance "Disponible" a diciembre 31 de 2010 y corresponde a los saldos conciliados en Caja, Bancos, Inversiones Temporales, saldos en fondos de cesantías, Pensiones EPS y ARS que se ejecutarán en la vigencia a presupuestar.
Su valor tendrá que ajustarse una vez se conozca su valor real al cierre de los estados Financieros de Diciembre de la actual vigencia
Puede estimarse en el presupuesto Inicial mediante un flujo de fondos y ajustarse cuando se conzca el valor real.</t>
        </r>
      </text>
    </comment>
    <comment ref="B39" authorId="0">
      <text>
        <r>
          <rPr>
            <sz val="8"/>
            <rFont val="Tahoma"/>
            <family val="2"/>
          </rPr>
          <t>Este concepto hace parte del total de recursos para atender a la población pobre en lo no cubierto con subsidios a la demanda (Vinculados) y debe incluirse en el convenio con el Ente Territorial y justificarse vía facturación</t>
        </r>
      </text>
    </comment>
    <comment ref="B78" authorId="0">
      <text>
        <r>
          <rPr>
            <sz val="8"/>
            <rFont val="Tahoma"/>
            <family val="2"/>
          </rPr>
          <t xml:space="preserve">Cuotas de Recuperación
 Se trata de los ingresos provenientes directamente de las personas sin capacidad de pago, no afiliadas a la Seguridad Social en salud, de acuerdo con los porcentajes establecidos por la Ley
</t>
        </r>
      </text>
    </comment>
    <comment ref="B40" authorId="0">
      <text>
        <r>
          <rPr>
            <sz val="8"/>
            <rFont val="Tahoma"/>
            <family val="2"/>
          </rPr>
          <t>Este concepto hace parte del total de recursos para atender a la población pobre en lo no cubierto con subsidios a la demanda (Vinculados) y debe incluirse en el convenio con el Ente Territorial  y justificarse vía facturación</t>
        </r>
      </text>
    </comment>
    <comment ref="B41" authorId="0">
      <text>
        <r>
          <rPr>
            <sz val="8"/>
            <rFont val="Tahoma"/>
            <family val="2"/>
          </rPr>
          <t>Este concepto hace parte del total de recursos para atender a la población pobre en lo no cubierto con subsidios a la demanda (Vinculados) y debe incluirse en el convenio con el Ente Territorial  y justificarse vía facturación</t>
        </r>
      </text>
    </comment>
    <comment ref="B360" authorId="0">
      <text>
        <r>
          <rPr>
            <sz val="8"/>
            <rFont val="Tahoma"/>
            <family val="2"/>
          </rPr>
          <t>Tener en cuenta que créditos deTesoreria no afectan presupuesto. Por este renglón únicamente se presupuestan obligaciones por créditos a más de un año de plazo.</t>
        </r>
      </text>
    </comment>
    <comment ref="B361" authorId="0">
      <text>
        <r>
          <rPr>
            <sz val="8"/>
            <rFont val="Tahoma"/>
            <family val="2"/>
          </rPr>
          <t>Esta apropiación del gasto incluye intereses por créditos tanto de Tesorería como a largo plazo</t>
        </r>
      </text>
    </comment>
    <comment ref="B382" authorId="0">
      <text>
        <r>
          <rPr>
            <sz val="8"/>
            <rFont val="Tahoma"/>
            <family val="2"/>
          </rPr>
          <t>FONDO DE LA VIVIENDA
El valor calculado para este renglón corresponde al porcentaje de Bienestar Social esstipulado en el acuerdo de creación del Fondo de Vivienda más los valores que se presupuesten como recuperaciones de creditos de vivienda y las saldos a diciembre 31 en disponibilidad incial.</t>
        </r>
      </text>
    </comment>
  </commentList>
</comments>
</file>

<file path=xl/sharedStrings.xml><?xml version="1.0" encoding="utf-8"?>
<sst xmlns="http://schemas.openxmlformats.org/spreadsheetml/2006/main" count="1104" uniqueCount="750">
  <si>
    <t>NOMBRE FUNCIONARIO</t>
  </si>
  <si>
    <t>CARGO</t>
  </si>
  <si>
    <t>Total</t>
  </si>
  <si>
    <t>( 3 )</t>
  </si>
  <si>
    <t>( 4 )</t>
  </si>
  <si>
    <t>( 5 )</t>
  </si>
  <si>
    <t>( 7 )</t>
  </si>
  <si>
    <t>( 9 )</t>
  </si>
  <si>
    <t>( 11 )</t>
  </si>
  <si>
    <t>Cargos Administrativos</t>
  </si>
  <si>
    <t>TOTAL ADMINISTRATIVOS</t>
  </si>
  <si>
    <t>Cargos Asistenciales</t>
  </si>
  <si>
    <t>NOTA: ESTA NO ES LA PLANTA  DEFINITIVA SOLO ES LA FUENTE PARA CALCULO DEL PRESUPUESTO</t>
  </si>
  <si>
    <t>PLANTA DE JUBILADOS Y PENSIONADOS</t>
  </si>
  <si>
    <t>PRIMA DE NAVIDAD</t>
  </si>
  <si>
    <t>TOTALES</t>
  </si>
  <si>
    <t>DIRECCION SECCIONAL DE SALUD DE ANTIOQUIA</t>
  </si>
  <si>
    <t>CODIGO</t>
  </si>
  <si>
    <t>INGRESOS</t>
  </si>
  <si>
    <t>DISPONIBILIDAD INICIAL</t>
  </si>
  <si>
    <t>INGRESOS  CORRIENTES</t>
  </si>
  <si>
    <t>VENTA DE SERVICIOS</t>
  </si>
  <si>
    <t>Venta de Servicios de Salud</t>
  </si>
  <si>
    <t>1130103-1</t>
  </si>
  <si>
    <t>1130103-2</t>
  </si>
  <si>
    <t>1130103-3</t>
  </si>
  <si>
    <t>INGRESOS DE CAPITAL</t>
  </si>
  <si>
    <t>GASTOS</t>
  </si>
  <si>
    <t>A</t>
  </si>
  <si>
    <t>GASTOS DE FUNCIONAMIENTO</t>
  </si>
  <si>
    <t>GASTOS DE PERSONAL</t>
  </si>
  <si>
    <t>Gastos de Administración</t>
  </si>
  <si>
    <t>Servicios Personales Asociados a Nómina</t>
  </si>
  <si>
    <t>Sueldos del Personal de nómina</t>
  </si>
  <si>
    <t>Horas Extras,Dominic.,Festivos y Rec. Nocturnos</t>
  </si>
  <si>
    <t>Prima Técnica</t>
  </si>
  <si>
    <t>Otros</t>
  </si>
  <si>
    <t>1010104-10</t>
  </si>
  <si>
    <t>Servicios Personales Indirectos</t>
  </si>
  <si>
    <t>Remuneración por Servicios Técnicos</t>
  </si>
  <si>
    <t>Personal Supernumerario</t>
  </si>
  <si>
    <t>Honorarios de la Junta Directiva</t>
  </si>
  <si>
    <t>Contribuciones Inherentes nómina al Sector Privado</t>
  </si>
  <si>
    <t>Contribuciones - Otros</t>
  </si>
  <si>
    <t>Contribuciones Inherentes nómina del Sector Público</t>
  </si>
  <si>
    <t>Gastos de Operación</t>
  </si>
  <si>
    <t>1020104-10</t>
  </si>
  <si>
    <t>Contribuciones Inherentes nómina del Sector Publico</t>
  </si>
  <si>
    <t>GASTOS GENERALES</t>
  </si>
  <si>
    <t>Adquisición de bienes</t>
  </si>
  <si>
    <t>Compra de Equipos</t>
  </si>
  <si>
    <t>Materiales</t>
  </si>
  <si>
    <t>Adquisición de Servicios</t>
  </si>
  <si>
    <t>Seguros</t>
  </si>
  <si>
    <t>Impresos y Publicaciones</t>
  </si>
  <si>
    <t xml:space="preserve">Servicios Públicos </t>
  </si>
  <si>
    <t>Comunicaciones y Transportes</t>
  </si>
  <si>
    <t>Viáticos y Gastos de Viaje</t>
  </si>
  <si>
    <t>Arrendamientos</t>
  </si>
  <si>
    <t>Vigilancia y Aseo</t>
  </si>
  <si>
    <t>Bienestar Social</t>
  </si>
  <si>
    <t>Impuestos y Multas</t>
  </si>
  <si>
    <t>Mantenimiento Hospitalario</t>
  </si>
  <si>
    <t>2020102-1</t>
  </si>
  <si>
    <t>2020102-2</t>
  </si>
  <si>
    <t>2020102-3</t>
  </si>
  <si>
    <t>TRANSFERENCIAS CORRIENTES</t>
  </si>
  <si>
    <t>Transferencias al Sector Público</t>
  </si>
  <si>
    <t>Transf. Previsión y Seguridad Social</t>
  </si>
  <si>
    <t>Pensiones y Jubilaciones (Pago Directo)</t>
  </si>
  <si>
    <t>Intereses a las cesantias</t>
  </si>
  <si>
    <t>Otras Transferencias</t>
  </si>
  <si>
    <t>Sentencias y Conciliaciones</t>
  </si>
  <si>
    <t>Destinatarios de otras transferencias</t>
  </si>
  <si>
    <t>GASTOS  DE PRESTACION DE SERVICIOS</t>
  </si>
  <si>
    <t>Insumos y Suministros Hospitalarios</t>
  </si>
  <si>
    <t>Compra de Bienes para la Prestacion de servicios</t>
  </si>
  <si>
    <t>Gastos Complementarios e Intermedios</t>
  </si>
  <si>
    <t>B</t>
  </si>
  <si>
    <t>Insumos y Suministros para Venta al Público</t>
  </si>
  <si>
    <t>Compra de Bienes para la venta</t>
  </si>
  <si>
    <t>C</t>
  </si>
  <si>
    <t xml:space="preserve">SERVICIO DE LA DEUDA </t>
  </si>
  <si>
    <t>Amortización deuda Pública Interna</t>
  </si>
  <si>
    <t>Intereses Comisiones y gastos de la Deuda Pública</t>
  </si>
  <si>
    <t>Amortización deuda Pública Externa</t>
  </si>
  <si>
    <t>D</t>
  </si>
  <si>
    <t>INVERSION</t>
  </si>
  <si>
    <t>Formación Bruta del Capital</t>
  </si>
  <si>
    <t>Gastos Operativos de Inversion   (Programas Especiales)</t>
  </si>
  <si>
    <t>Fondo de la Vivienda</t>
  </si>
  <si>
    <t>Programas Especial 1</t>
  </si>
  <si>
    <t>E</t>
  </si>
  <si>
    <t>DISPONIBILIDAD FINAL</t>
  </si>
  <si>
    <t>MUNICIPIO</t>
  </si>
  <si>
    <t>Administrativos</t>
  </si>
  <si>
    <t>( 1 )</t>
  </si>
  <si>
    <t>( 2 )</t>
  </si>
  <si>
    <t>( 12 )</t>
  </si>
  <si>
    <t>1130101-1</t>
  </si>
  <si>
    <t>1130101-2</t>
  </si>
  <si>
    <t>EPS - REGIMEN CONTRIBUTIVO</t>
  </si>
  <si>
    <t>1130102-1</t>
  </si>
  <si>
    <t>1130102-2</t>
  </si>
  <si>
    <t>1130103-1-1</t>
  </si>
  <si>
    <t>1130103-1-2</t>
  </si>
  <si>
    <t>1130103-2-1</t>
  </si>
  <si>
    <t>1130103-2-2</t>
  </si>
  <si>
    <t>1130103-3-1</t>
  </si>
  <si>
    <t>1130103-3-2</t>
  </si>
  <si>
    <t>1130106-1</t>
  </si>
  <si>
    <t>1130106-2</t>
  </si>
  <si>
    <t>1130107-1</t>
  </si>
  <si>
    <t>1130107-2</t>
  </si>
  <si>
    <t>1130109-1</t>
  </si>
  <si>
    <t>1130109-2</t>
  </si>
  <si>
    <t>1130111-1</t>
  </si>
  <si>
    <t>1130111-2</t>
  </si>
  <si>
    <t>1130112-1</t>
  </si>
  <si>
    <t>1130112-2</t>
  </si>
  <si>
    <t>1130113-1</t>
  </si>
  <si>
    <t>1130113-2</t>
  </si>
  <si>
    <t>1130115-1</t>
  </si>
  <si>
    <t>1130115-2</t>
  </si>
  <si>
    <t>1130116-1</t>
  </si>
  <si>
    <t>1130116-2</t>
  </si>
  <si>
    <t>1130110-1</t>
  </si>
  <si>
    <t>1130110-2</t>
  </si>
  <si>
    <t>1130114-1</t>
  </si>
  <si>
    <t>1130114-2</t>
  </si>
  <si>
    <t>1130117-1</t>
  </si>
  <si>
    <t>1130117-2</t>
  </si>
  <si>
    <t>MINSALUD-FOSYGA-RECLAMACIONES ECAT</t>
  </si>
  <si>
    <t>MINSALUD-FOSYGA -TRAUMA MAYOR Y DESPLAZADOS</t>
  </si>
  <si>
    <t>EPS - PLANES COMPLEMENTARIOS</t>
  </si>
  <si>
    <t>EMPRESAS MEDICINA PREPAGADA</t>
  </si>
  <si>
    <t>IPS PRIVADAS</t>
  </si>
  <si>
    <t>IPS PUBLICAS</t>
  </si>
  <si>
    <t>COMPAÑIAS DE SEGUROS  - ACCIDENTES DE TRANSITO</t>
  </si>
  <si>
    <t>COMPAÑIAS DE SEGUROS  - PLANES DE SALUD</t>
  </si>
  <si>
    <t>SUBSIDIO A LA OFERTA- ACTIVIDADES NO POS-S</t>
  </si>
  <si>
    <t>SALUD PUBLICA, P y P</t>
  </si>
  <si>
    <t>ENTIDADES DE REGIMEN ESPECIAL (Magisterio, Fuerza Pca.)</t>
  </si>
  <si>
    <t>PARTICULARES   (Venta de Contado)</t>
  </si>
  <si>
    <t>COMERCIALIZACIÓN DE MERCANCÍAS</t>
  </si>
  <si>
    <t xml:space="preserve">TOTAL PRESUPUESTO DE INGRESOS </t>
  </si>
  <si>
    <t>TOTAL INGRESOS DIFERENTES A CUENTAS POR COBRAR</t>
  </si>
  <si>
    <t>Impuestos (Predial, Vehiculos, Otros)</t>
  </si>
  <si>
    <t>2020202-2</t>
  </si>
  <si>
    <t>2020202-4</t>
  </si>
  <si>
    <t>2020202-5</t>
  </si>
  <si>
    <t>Entidades Públicas (Contraloria, Supersalud,…)</t>
  </si>
  <si>
    <t>Cesantías Pago Directo (Pago Directo)</t>
  </si>
  <si>
    <t>Programas Especial 2</t>
  </si>
  <si>
    <t>Programas Especial 3</t>
  </si>
  <si>
    <t>Programas Especial 4</t>
  </si>
  <si>
    <t>Programas Especial 5</t>
  </si>
  <si>
    <t>Programas Especial 6</t>
  </si>
  <si>
    <t>Subprogr.Construc. Remodelac. Adecuación y Apliac.1</t>
  </si>
  <si>
    <t>Subprogr.Construc. Remodelac. Adecuación y Apliac.2</t>
  </si>
  <si>
    <t>Subprogr.Construc. Remodelac. Adecuación y Apliac.3</t>
  </si>
  <si>
    <t>Subprogr.Construc. Remodelac. Adecuación y Apliac.4</t>
  </si>
  <si>
    <t>Subprogr.Construc. Remodelac. Adecuación y Apliac.5</t>
  </si>
  <si>
    <t>FONDO DE CESANTIAS</t>
  </si>
  <si>
    <t>1130118-1</t>
  </si>
  <si>
    <t>1130118-2</t>
  </si>
  <si>
    <t>Bonificación Especial por Recreación</t>
  </si>
  <si>
    <t>2020202-1</t>
  </si>
  <si>
    <t>2020202-6</t>
  </si>
  <si>
    <t>2020202-3</t>
  </si>
  <si>
    <t>2020202-7</t>
  </si>
  <si>
    <t>2020202-8</t>
  </si>
  <si>
    <t>2020202-9</t>
  </si>
  <si>
    <t>085</t>
  </si>
  <si>
    <t>412</t>
  </si>
  <si>
    <t>REGISTRO</t>
  </si>
  <si>
    <t>ESE HOSPITAL</t>
  </si>
  <si>
    <t>TIPO DE DATO</t>
  </si>
  <si>
    <t>VIGENCIA A PRESUPUESTAR</t>
  </si>
  <si>
    <t>ASISTEN.</t>
  </si>
  <si>
    <t>DATOS DE LOS CARGOS</t>
  </si>
  <si>
    <t>DATOS DE LA SEGURIDAD SOCIAL</t>
  </si>
  <si>
    <t>SALUD</t>
  </si>
  <si>
    <t>PENSION</t>
  </si>
  <si>
    <t>EPS</t>
  </si>
  <si>
    <t>FONDO DE PENSION</t>
  </si>
  <si>
    <t>ICBF</t>
  </si>
  <si>
    <t>SENA</t>
  </si>
  <si>
    <t>TIPO</t>
  </si>
  <si>
    <t>ADMINIS.</t>
  </si>
  <si>
    <t>Porcentaje de bienestar social para el fondo de la vivienda</t>
  </si>
  <si>
    <t>No. de integrantes de la Junta Directiva que no son funcionarios públicos</t>
  </si>
  <si>
    <t>Valor honorarios por cada sesión de cada integrante de la Junta Directiva</t>
  </si>
  <si>
    <t>PATRONAL</t>
  </si>
  <si>
    <t>EMPLEADO</t>
  </si>
  <si>
    <t>PORCENTAJES PARA APORTES A LA SEGURIDAD SOCIAL</t>
  </si>
  <si>
    <t>TOTAL APORTE</t>
  </si>
  <si>
    <t>Asistenciales</t>
  </si>
  <si>
    <t>APORTES PARAFISCALES CCF</t>
  </si>
  <si>
    <t>APORTES PARAFISCALES ICBF</t>
  </si>
  <si>
    <t>APORTES PARAFISCALES SENA</t>
  </si>
  <si>
    <t>CESANTIAS</t>
  </si>
  <si>
    <t>CAJA DE COMPENSACION</t>
  </si>
  <si>
    <r>
      <t xml:space="preserve">FONDOS DE AFILIACION </t>
    </r>
    <r>
      <rPr>
        <b/>
        <sz val="8"/>
        <color indexed="48"/>
        <rFont val="Arial"/>
        <family val="2"/>
      </rPr>
      <t>(Digite los nombres de los fondos en los que estén afiliados sus empleados)</t>
    </r>
  </si>
  <si>
    <t>ASIGNACION BASICA</t>
  </si>
  <si>
    <t>EXTRAS, NOCT, DOMIN Y FEST PROMEDIO</t>
  </si>
  <si>
    <t>VALOR</t>
  </si>
  <si>
    <t>TOTAL SGP</t>
  </si>
  <si>
    <t>FONDO</t>
  </si>
  <si>
    <t>Administrativo</t>
  </si>
  <si>
    <t>Asistencial</t>
  </si>
  <si>
    <t>TOTAL</t>
  </si>
  <si>
    <t>ENTIDAD</t>
  </si>
  <si>
    <t>TOTAL PARAFISCALES</t>
  </si>
  <si>
    <t>PRIMA DE SERVICIOS</t>
  </si>
  <si>
    <t>PRIMA DE VACACIONES</t>
  </si>
  <si>
    <t>BONIFICACION POR RECREACION</t>
  </si>
  <si>
    <t>DATOS RELACIONADOS A BIENESAR SOCIAL Y ESTIMULOS</t>
  </si>
  <si>
    <t>DATOS RELACIONADOS CON LA JUNTA DIRECTIVA</t>
  </si>
  <si>
    <t>DATOS DEL COMPORTAMIENTO ECONOMICO DE LAS VIGENCIAS</t>
  </si>
  <si>
    <t>DATOS RELACIONADOS CON PAGO DE PRIMAS Y OTROS EMOLUMENTOS</t>
  </si>
  <si>
    <r>
      <t xml:space="preserve">Paga prima de vida cara?  </t>
    </r>
    <r>
      <rPr>
        <sz val="10"/>
        <color indexed="10"/>
        <rFont val="Arial"/>
        <family val="2"/>
      </rPr>
      <t>(Si la paga digite 1, si no 0)</t>
    </r>
  </si>
  <si>
    <r>
      <t xml:space="preserve">Paga prima de servicios? </t>
    </r>
    <r>
      <rPr>
        <sz val="10"/>
        <color indexed="10"/>
        <rFont val="Arial"/>
        <family val="2"/>
      </rPr>
      <t>(Si la paga digite 1, si no 0)</t>
    </r>
  </si>
  <si>
    <r>
      <t xml:space="preserve">Paga intereses a las cesantías?  </t>
    </r>
    <r>
      <rPr>
        <sz val="10"/>
        <color indexed="10"/>
        <rFont val="Arial"/>
        <family val="2"/>
      </rPr>
      <t>(Si la paga digite 1, si no 0)</t>
    </r>
  </si>
  <si>
    <r>
      <t xml:space="preserve">Paga bonificación por recreación </t>
    </r>
    <r>
      <rPr>
        <sz val="10"/>
        <color indexed="10"/>
        <rFont val="Arial"/>
        <family val="2"/>
      </rPr>
      <t>(Si la paga digite 1, si no 0)</t>
    </r>
  </si>
  <si>
    <r>
      <t xml:space="preserve">Paga bonificación convencional? </t>
    </r>
    <r>
      <rPr>
        <sz val="10"/>
        <color indexed="10"/>
        <rFont val="Arial"/>
        <family val="2"/>
      </rPr>
      <t>( Digite el número de días que pague o 0 si no la paga )</t>
    </r>
  </si>
  <si>
    <r>
      <t xml:space="preserve">Dias para prima de vacaciones </t>
    </r>
    <r>
      <rPr>
        <sz val="10"/>
        <color indexed="10"/>
        <rFont val="Arial"/>
        <family val="2"/>
      </rPr>
      <t>( Si paga mas de 15, digite el promedio)</t>
    </r>
  </si>
  <si>
    <t xml:space="preserve"> </t>
  </si>
  <si>
    <t>FONDOS</t>
  </si>
  <si>
    <t>ESCRITURA AUTOMATICA DE NUMEROS</t>
  </si>
  <si>
    <t>UN</t>
  </si>
  <si>
    <t>DOS</t>
  </si>
  <si>
    <t>TRES</t>
  </si>
  <si>
    <t>CUATRO</t>
  </si>
  <si>
    <t>CINCO</t>
  </si>
  <si>
    <t>SEIS</t>
  </si>
  <si>
    <t>SIETE</t>
  </si>
  <si>
    <t>OCHO</t>
  </si>
  <si>
    <t>NUEVE</t>
  </si>
  <si>
    <t>DIEZ</t>
  </si>
  <si>
    <t>ONCE</t>
  </si>
  <si>
    <t>DOCE</t>
  </si>
  <si>
    <t>TRECE</t>
  </si>
  <si>
    <t>CATORCE</t>
  </si>
  <si>
    <t>QUINCE</t>
  </si>
  <si>
    <t>DIEZ Y SEIS</t>
  </si>
  <si>
    <t>DIEZ Y SIETE</t>
  </si>
  <si>
    <t>DIEZ Y OCHO</t>
  </si>
  <si>
    <t>DIEZ Y NUEVE</t>
  </si>
  <si>
    <t>VEINTE</t>
  </si>
  <si>
    <t>VEINTIUNO</t>
  </si>
  <si>
    <t>VEINTIDOS</t>
  </si>
  <si>
    <t>VEINTITRES</t>
  </si>
  <si>
    <t>VEINTICUATRO</t>
  </si>
  <si>
    <t>VEINTICINCO</t>
  </si>
  <si>
    <t>VEINTISEIS</t>
  </si>
  <si>
    <t>VEITISIETE</t>
  </si>
  <si>
    <t>VEINTIOCHO</t>
  </si>
  <si>
    <t>VEINTINUEVE</t>
  </si>
  <si>
    <t>TREINTA</t>
  </si>
  <si>
    <t>TREINTA Y UNO</t>
  </si>
  <si>
    <t>TREINTA Y DOS</t>
  </si>
  <si>
    <t>TREINTA Y TRES</t>
  </si>
  <si>
    <t>TREINTA Y CUATRO</t>
  </si>
  <si>
    <t>TREINTA Y CINCO</t>
  </si>
  <si>
    <t>TREINTA Y SEIS</t>
  </si>
  <si>
    <t>TREINTA Y SIETE</t>
  </si>
  <si>
    <t>TREINTA Y OCHO</t>
  </si>
  <si>
    <t>TREINTA Y NUEVE</t>
  </si>
  <si>
    <t>CUARENTA</t>
  </si>
  <si>
    <t>CUARENTA Y UNO</t>
  </si>
  <si>
    <t>CUARENTA Y DOS</t>
  </si>
  <si>
    <t>CUARENTA Y TRES</t>
  </si>
  <si>
    <t>CUARENTA Y CUATRO</t>
  </si>
  <si>
    <t>CUARENTA Y CINCO</t>
  </si>
  <si>
    <t>CUARENTA Y SEIS</t>
  </si>
  <si>
    <t>CUARENTA Y SIETE</t>
  </si>
  <si>
    <t>CUARENTA Y OCHO</t>
  </si>
  <si>
    <t>CUARENTA Y NUEVE</t>
  </si>
  <si>
    <t>CINCUENTA</t>
  </si>
  <si>
    <t>CINCUENTA Y UNO</t>
  </si>
  <si>
    <t>CINCUENTA Y DOS</t>
  </si>
  <si>
    <t>CINCUENTA Y TRES</t>
  </si>
  <si>
    <t>CINCUENTA Y CUATRO</t>
  </si>
  <si>
    <t>CINCUENTA Y CINCO</t>
  </si>
  <si>
    <t>CINCUENTA Y SEIS</t>
  </si>
  <si>
    <t>CINCUENTA Y SIETE</t>
  </si>
  <si>
    <t>CINCUENTA Y OCHO</t>
  </si>
  <si>
    <t>CINCUENTA Y NUEVE</t>
  </si>
  <si>
    <t>SESENTA</t>
  </si>
  <si>
    <t>SESENTA Y UNO</t>
  </si>
  <si>
    <t>SESENTA Y DOS</t>
  </si>
  <si>
    <t>SESENTA Y TRES</t>
  </si>
  <si>
    <t>SESENTA Y CUATRO</t>
  </si>
  <si>
    <t>SESENTA Y CINCO</t>
  </si>
  <si>
    <t>SESENTA Y SEIS</t>
  </si>
  <si>
    <t>SESENTA Y SIETE</t>
  </si>
  <si>
    <t>SESENTA Y OCHO</t>
  </si>
  <si>
    <t>SESENTA Y NUEVE</t>
  </si>
  <si>
    <t>SETENTA</t>
  </si>
  <si>
    <t>SETENTA Y UNO</t>
  </si>
  <si>
    <t>SETENTA Y DOS</t>
  </si>
  <si>
    <t>SETENTA Y TRES</t>
  </si>
  <si>
    <t>SETENTA Y CUATRO</t>
  </si>
  <si>
    <t>SETENTA Y CINCO</t>
  </si>
  <si>
    <t>SETENTA Y SEIS</t>
  </si>
  <si>
    <t>SETENTA Y SIETE</t>
  </si>
  <si>
    <t>SETENTA Y OCHO</t>
  </si>
  <si>
    <t>SETENTA Y NUEVE</t>
  </si>
  <si>
    <t>OCHENTA</t>
  </si>
  <si>
    <t>OCHENTA Y UNO</t>
  </si>
  <si>
    <t>OCHENTA Y DOS</t>
  </si>
  <si>
    <t>OCHENTA Y TRES</t>
  </si>
  <si>
    <t>OCHENTA Y CUATRO</t>
  </si>
  <si>
    <t>OCHENTA Y CINCO</t>
  </si>
  <si>
    <t>OCHENTA Y SEIS</t>
  </si>
  <si>
    <t>OCHENTA Y SIETE</t>
  </si>
  <si>
    <t>OCHENTA Y OCHO</t>
  </si>
  <si>
    <t>OCHENTA Y NUEVE</t>
  </si>
  <si>
    <t>NOVENTA</t>
  </si>
  <si>
    <t>NOVENTA Y UNO</t>
  </si>
  <si>
    <t>NOVENTA Y DOS</t>
  </si>
  <si>
    <t>NOVENTA Y TRES</t>
  </si>
  <si>
    <t>NOVENTA Y CUATRO</t>
  </si>
  <si>
    <t>NOVENTA Y CINCO</t>
  </si>
  <si>
    <t>NOVENTA Y SEIS</t>
  </si>
  <si>
    <t>NOVENTA Y SIETE</t>
  </si>
  <si>
    <t>NOVENTA Y OCHO</t>
  </si>
  <si>
    <t>NOVENTA Y NUEVE</t>
  </si>
  <si>
    <t>CIENTO</t>
  </si>
  <si>
    <t>DOCIENTOS</t>
  </si>
  <si>
    <t>TRECIENTOS</t>
  </si>
  <si>
    <t>CUATROCIENTOS</t>
  </si>
  <si>
    <t>QUINIENTOS</t>
  </si>
  <si>
    <t>SEICIENTOS</t>
  </si>
  <si>
    <t>SETECIENTOS</t>
  </si>
  <si>
    <t>OCHOCIENTOS</t>
  </si>
  <si>
    <t>NOVECIENTOS</t>
  </si>
  <si>
    <t>No. de cargos</t>
  </si>
  <si>
    <t>Asignación mes / cargo</t>
  </si>
  <si>
    <t>Total mensual</t>
  </si>
  <si>
    <t>Nro. de meses a calcular</t>
  </si>
  <si>
    <t>Total año</t>
  </si>
  <si>
    <t>(6) = (3*5)</t>
  </si>
  <si>
    <t>( 8 )</t>
  </si>
  <si>
    <t>( 10 ) = (7*9)</t>
  </si>
  <si>
    <t>(13)=(10*12)</t>
  </si>
  <si>
    <t>codigo</t>
  </si>
  <si>
    <t>No. Horas dia / cargo</t>
  </si>
  <si>
    <t>TOTAL ASISTENCIALES</t>
  </si>
  <si>
    <t>TOTAL GENERAL PLAN DE CARGOS</t>
  </si>
  <si>
    <t>según 
Dec. 785 de 2005</t>
  </si>
  <si>
    <t>% Increm. salarial esperado</t>
  </si>
  <si>
    <t>AÑO EN QUE SE PENSIONÓ</t>
  </si>
  <si>
    <t>NOMBRE DEL JUBILADO O PENSIONADO</t>
  </si>
  <si>
    <t>MINISTERIO DE LA PROTECCION SOCIAL</t>
  </si>
  <si>
    <t>VIGENCIA</t>
  </si>
  <si>
    <t>PRESUPUESTO</t>
  </si>
  <si>
    <t>RUBRO O CONCEPTO</t>
  </si>
  <si>
    <t>PRESUPUESTO DE INGRESOS</t>
  </si>
  <si>
    <t>PRESUPUESTO DE GASTOS</t>
  </si>
  <si>
    <t xml:space="preserve">Aprovechamientos </t>
  </si>
  <si>
    <t>NACION</t>
  </si>
  <si>
    <t>DEPARTAMENTO</t>
  </si>
  <si>
    <t>CONVENIOS (EMPRESTITO)</t>
  </si>
  <si>
    <t>CRÉDITO INTERNO</t>
  </si>
  <si>
    <t>CRÉDITO EXTERNO</t>
  </si>
  <si>
    <t>RENDIMIENTOS FINANCIEROS</t>
  </si>
  <si>
    <t>VENTA DE ACTIVOS</t>
  </si>
  <si>
    <t>DONACIONES</t>
  </si>
  <si>
    <t>OTROS INGRESOS DE CAPITAL</t>
  </si>
  <si>
    <t>CUOTAS DE RECUPERACION - PERSONAS POBRES EN LO NO CUBIERTO CON SUBSIDIO A LA DEMANDA</t>
  </si>
  <si>
    <t>APROPIACIONES O CONCEPTOS</t>
  </si>
  <si>
    <t xml:space="preserve">Prima de Navidad </t>
  </si>
  <si>
    <t>Prima de Vacaciones</t>
  </si>
  <si>
    <t>Prima de Servicios</t>
  </si>
  <si>
    <t>Auxilio de Transporte</t>
  </si>
  <si>
    <t>Gastos de Representación</t>
  </si>
  <si>
    <t>Indemnizaciones por Vacaciones o Supresión de Cargos por Reestructuración</t>
  </si>
  <si>
    <t>S.E.N.A.</t>
  </si>
  <si>
    <t>I.C.B.F.</t>
  </si>
  <si>
    <t>Aporte a Caja Compensación Familiar</t>
  </si>
  <si>
    <t>1130104-1</t>
  </si>
  <si>
    <t>1130104-2</t>
  </si>
  <si>
    <t>PROGRAMAS DE INVERSION</t>
  </si>
  <si>
    <r>
      <t xml:space="preserve">Paga auxilio de transporte? </t>
    </r>
    <r>
      <rPr>
        <sz val="10"/>
        <color indexed="10"/>
        <rFont val="Arial"/>
        <family val="2"/>
      </rPr>
      <t xml:space="preserve"> (Si la paga digite 1, si no 0)</t>
    </r>
  </si>
  <si>
    <t>APORTES PARAFISCALES</t>
  </si>
  <si>
    <t>TOTAL ARP</t>
  </si>
  <si>
    <t>Porcentaje de la nómina que dedicará a bienestar social</t>
  </si>
  <si>
    <t>CALCULOS DE FALTANTES Y SOBRANTES (APORTES REQUERIDOS Vs. APORTES SOLICITADOS)</t>
  </si>
  <si>
    <t>TIPO DE APORTE</t>
  </si>
  <si>
    <t>VALOR SOLICITADO</t>
  </si>
  <si>
    <t>VALOR REQUERIDO</t>
  </si>
  <si>
    <t>DIFERENCIAS (Solicitado - requerido)</t>
  </si>
  <si>
    <t>DATOS DE LA APLICACIÓN DEL SGP</t>
  </si>
  <si>
    <t>DATOS DE ADICIONES O REDUCCIONES PARA APLICAR CON SITUACION DE FONDOS</t>
  </si>
  <si>
    <t>VALOR SIN SITUACION</t>
  </si>
  <si>
    <t>VALOR CON SITUACION</t>
  </si>
  <si>
    <t>VALOR SIN SITUACION (Cuando saldo total de diferencia es negativo)</t>
  </si>
  <si>
    <t>VALOR CON SITUACION (Cuando saldo total de diferencia es negativo)</t>
  </si>
  <si>
    <t>DISTRIBUCION POR TIPO DE FUNCIONARIOS</t>
  </si>
  <si>
    <t>SIN SITUACION DE FONDOS</t>
  </si>
  <si>
    <t>CON SITUACION DE FONDOS</t>
  </si>
  <si>
    <t>VALOR CON SITUACION (Cuando saldo total de diferencia es positivo)</t>
  </si>
  <si>
    <t>GASTOS DE COMERCIALIZACION</t>
  </si>
  <si>
    <t>TOTAL GASTOS DIFERENTES A CUENTAS POR PAGAR</t>
  </si>
  <si>
    <t>TOTAL PRESUPUESTO DE GASTOS</t>
  </si>
  <si>
    <t>NIVEL DE ATENCION</t>
  </si>
  <si>
    <t>ARRENDAMIENTO Y ALQUILER DE BIENES MUEBLES E INMUEBLES</t>
  </si>
  <si>
    <t>1010104-1</t>
  </si>
  <si>
    <t>1010104-2</t>
  </si>
  <si>
    <t>1010104-3</t>
  </si>
  <si>
    <t>1010104-4</t>
  </si>
  <si>
    <t>1010104-5</t>
  </si>
  <si>
    <t>1010104-8</t>
  </si>
  <si>
    <t>1010104-9</t>
  </si>
  <si>
    <t>1010301-1</t>
  </si>
  <si>
    <t>1010301-2</t>
  </si>
  <si>
    <t>1010301-3</t>
  </si>
  <si>
    <t>1010301-4</t>
  </si>
  <si>
    <t>1010302-1</t>
  </si>
  <si>
    <t>1010302-2</t>
  </si>
  <si>
    <t>1010302-3</t>
  </si>
  <si>
    <t>1010302-4</t>
  </si>
  <si>
    <t>1010302-5</t>
  </si>
  <si>
    <t>1020104-1</t>
  </si>
  <si>
    <t>1020104-2</t>
  </si>
  <si>
    <t>1020104-3</t>
  </si>
  <si>
    <t>1020104-4</t>
  </si>
  <si>
    <t>1020104-5</t>
  </si>
  <si>
    <t>1020104-8</t>
  </si>
  <si>
    <t>1020104-9</t>
  </si>
  <si>
    <t>1020301-1</t>
  </si>
  <si>
    <t>1020301-2</t>
  </si>
  <si>
    <t>1020301-3</t>
  </si>
  <si>
    <t>1020301-4</t>
  </si>
  <si>
    <t>1020302-1</t>
  </si>
  <si>
    <t>1020302-2</t>
  </si>
  <si>
    <t>1020302-3</t>
  </si>
  <si>
    <t>1020302-4</t>
  </si>
  <si>
    <t>1020302-5</t>
  </si>
  <si>
    <t>DATOS GENERALES DE LA INSTITUCION</t>
  </si>
  <si>
    <t>CONCEPTO</t>
  </si>
  <si>
    <t>11303-1</t>
  </si>
  <si>
    <t>11303-2</t>
  </si>
  <si>
    <t>11303-3</t>
  </si>
  <si>
    <t>11303-4</t>
  </si>
  <si>
    <t>2100-1</t>
  </si>
  <si>
    <t>2200-1</t>
  </si>
  <si>
    <t>1010200-1</t>
  </si>
  <si>
    <t>1010200-2</t>
  </si>
  <si>
    <t>1010200-3</t>
  </si>
  <si>
    <t>1010200-4</t>
  </si>
  <si>
    <t>1010402-1</t>
  </si>
  <si>
    <t>1010402-2</t>
  </si>
  <si>
    <t>1020200-1</t>
  </si>
  <si>
    <t>1020200-2</t>
  </si>
  <si>
    <t>1020402-1</t>
  </si>
  <si>
    <t>1020402-2</t>
  </si>
  <si>
    <t>2010100-1</t>
  </si>
  <si>
    <t>2010100-2</t>
  </si>
  <si>
    <t>2010100-3</t>
  </si>
  <si>
    <t>Salud Ocupacional</t>
  </si>
  <si>
    <t>2010100-4</t>
  </si>
  <si>
    <t>2010100-5</t>
  </si>
  <si>
    <t>2010100-6</t>
  </si>
  <si>
    <t>2010200-1</t>
  </si>
  <si>
    <t>2010200-2</t>
  </si>
  <si>
    <t>2010200-3</t>
  </si>
  <si>
    <t>2010200-4</t>
  </si>
  <si>
    <t>2010200-5</t>
  </si>
  <si>
    <t>2010200-6</t>
  </si>
  <si>
    <t>2010200-7</t>
  </si>
  <si>
    <t>2010200-8</t>
  </si>
  <si>
    <t>2010200-9</t>
  </si>
  <si>
    <t>Capacitación, estimulos, incentivos, programa de calidad</t>
  </si>
  <si>
    <t>2010200-10</t>
  </si>
  <si>
    <t>2010200-11</t>
  </si>
  <si>
    <t>Gastos financieros</t>
  </si>
  <si>
    <t>2010200-12</t>
  </si>
  <si>
    <t>2010200-13</t>
  </si>
  <si>
    <t>2010200-14</t>
  </si>
  <si>
    <t>2010200-15</t>
  </si>
  <si>
    <t>2010300-1</t>
  </si>
  <si>
    <t xml:space="preserve">   Compra de Equipo e Instr. Mco. y Laborat.</t>
  </si>
  <si>
    <t xml:space="preserve">   Materiales</t>
  </si>
  <si>
    <t>3300200-1</t>
  </si>
  <si>
    <t>3300200-2</t>
  </si>
  <si>
    <t>3300200-3</t>
  </si>
  <si>
    <t>4100100-1</t>
  </si>
  <si>
    <t>4100100-2</t>
  </si>
  <si>
    <t>4100100-3</t>
  </si>
  <si>
    <t>4100100-4</t>
  </si>
  <si>
    <t>4100100-5</t>
  </si>
  <si>
    <t>4100200-1</t>
  </si>
  <si>
    <t xml:space="preserve">     Alimentación</t>
  </si>
  <si>
    <t>5100100-1</t>
  </si>
  <si>
    <t>5100100-2</t>
  </si>
  <si>
    <t>5100100-3</t>
  </si>
  <si>
    <t>5100100-4</t>
  </si>
  <si>
    <t>5100100-5</t>
  </si>
  <si>
    <t>5100100-6</t>
  </si>
  <si>
    <t>SERVICIO DE LA DEUDA INTERNA</t>
  </si>
  <si>
    <t>SERVICIO DE LA DEUDA EXTERNA</t>
  </si>
  <si>
    <t>8001000-1</t>
  </si>
  <si>
    <t>8001000-2</t>
  </si>
  <si>
    <t>8001000-3</t>
  </si>
  <si>
    <t>8001000-4</t>
  </si>
  <si>
    <t>8002100-1</t>
  </si>
  <si>
    <t>8002100-2</t>
  </si>
  <si>
    <t>8002100-3</t>
  </si>
  <si>
    <t>8002100-4</t>
  </si>
  <si>
    <t>8002100-5</t>
  </si>
  <si>
    <t>8002100-6</t>
  </si>
  <si>
    <t>8002100-7</t>
  </si>
  <si>
    <t>Productos Farmaceuticos</t>
  </si>
  <si>
    <t>Material Médico Quirúrgico</t>
  </si>
  <si>
    <t>Material de Laboratorio</t>
  </si>
  <si>
    <t>Material para Odontologia</t>
  </si>
  <si>
    <t>Material para Rayos X</t>
  </si>
  <si>
    <t>Material aseo personal, etc.</t>
  </si>
  <si>
    <t>COHAN</t>
  </si>
  <si>
    <t>AESA</t>
  </si>
  <si>
    <t xml:space="preserve">OTRAS </t>
  </si>
  <si>
    <t>ASIGNACION BASICA MENSUAL</t>
  </si>
  <si>
    <t>EXTRAS, NOCT, DOMIN Y FEST. PROMEDIO MENSUALES</t>
  </si>
  <si>
    <t>COLFONDOS</t>
  </si>
  <si>
    <t>VALOR SIN SITUACION (Cuando saldo total de diferencia es positivo)</t>
  </si>
  <si>
    <t>Servicios de laboratorio contratados con terceros</t>
  </si>
  <si>
    <t>Servicios de rayos X e imaginología contratados con terceros</t>
  </si>
  <si>
    <t>EPS - REGIMEN SUBSIDIADO</t>
  </si>
  <si>
    <t>SUBSIDIO A LA OFERTA- ATENCION PERSONAS POBRES NO CUBIERTOS CON SUBSIDIO A LA DEMANDA</t>
  </si>
  <si>
    <t xml:space="preserve"> Prestación de Servicios de salud  1er Nivel</t>
  </si>
  <si>
    <t xml:space="preserve"> Prestación de Servicios de salud  2o. Nivel</t>
  </si>
  <si>
    <t xml:space="preserve"> Prestación de Servicios de salud  3o. Nivel</t>
  </si>
  <si>
    <t>CONVENIOS CON LA NACION LIGADOS A LA VENTA DE SERVICIOS</t>
  </si>
  <si>
    <t xml:space="preserve">OTROS CONVENIOS </t>
  </si>
  <si>
    <t>11303-5</t>
  </si>
  <si>
    <t>NUEVA EPS</t>
  </si>
  <si>
    <t>Plan Integral de Manejos de Residuos Sólidos Hospitalarios</t>
  </si>
  <si>
    <t>Bonos, cuotas de Bonos y cuotas partes jubilatorias</t>
  </si>
  <si>
    <t>Certificación, Habilitación Y Acreditación</t>
  </si>
  <si>
    <t>PORCENTAJE DE COTIZACION PARA SALUD DE LOS PENSIONADOS</t>
  </si>
  <si>
    <t>Pagos otras IPS</t>
  </si>
  <si>
    <t>2020202-10</t>
  </si>
  <si>
    <t>Servicios Públicos</t>
  </si>
  <si>
    <t>Digitar nombre de Nuevo Rubro. Si lo Requiere</t>
  </si>
  <si>
    <t>1130119-1</t>
  </si>
  <si>
    <t>1130119-2</t>
  </si>
  <si>
    <t>En ningún caso deben insertar o eliminar filas en las plantillas.</t>
  </si>
  <si>
    <t>2. Todos los campos de la hoja "información general" deben ser diligenciados, para la adecuada identificación de la institución.</t>
  </si>
  <si>
    <t>SECRETARIA SECCIONAL DE SALUD Y PROTECCION SOCIAL DE ANTIOQUIA</t>
  </si>
  <si>
    <t>DIRECCION DE GESTION INTEGRAL DE RECURSOS</t>
  </si>
  <si>
    <t xml:space="preserve">Total de INGRESOS </t>
  </si>
  <si>
    <t xml:space="preserve">menos DISPONIBILIDAD INICIAL </t>
  </si>
  <si>
    <t>menos APORTES NO LIGADOS A LA VENTA DE SERVICIOS</t>
  </si>
  <si>
    <t xml:space="preserve">menos INGRESOS DE CAPITAL </t>
  </si>
  <si>
    <t>BASE DE INGRESOS PARA CALCULO DE MANTENIMIENTO</t>
  </si>
  <si>
    <t xml:space="preserve">5% PARA EL MANTENIENTO HOSPITALARIO </t>
  </si>
  <si>
    <t>ADQUISICION DE BIENES - 2020101</t>
  </si>
  <si>
    <t>ADQUISICION DE SERVICIOS - 2020201</t>
  </si>
  <si>
    <t>CALCULO DE INGRESO BASE</t>
  </si>
  <si>
    <t xml:space="preserve">menos INGRESOS POR VIGENCIAS ANTERIORES </t>
  </si>
  <si>
    <t>RECURSOS ASIGNADOS AL GASTO</t>
  </si>
  <si>
    <t>PROTECCION</t>
  </si>
  <si>
    <t>PORVENIR</t>
  </si>
  <si>
    <t>11303-6</t>
  </si>
  <si>
    <t>APORTES PATRONALES - MUNICIPIO / DEPARTAMENTO</t>
  </si>
  <si>
    <t>ARL</t>
  </si>
  <si>
    <t>RIESGOS LABORALES (ARL)</t>
  </si>
  <si>
    <t>3. En caso de que al intentar registrar algún dato, el archivo no se lo permita y saque algún mensaje que diga que solo se admiten ciertos datos en la celda, solo basta con desproteger la hoja, que está protegida sin clave, luego ir a la opción datos y buscar "validación" y en el cuadro que aparece, hacer clik en el botón borrar todos y con eso dejará ingresar cualquier dato que el usuario quiera. Obviamente antes de hacer estos pasos, deberá estar ubicado en la celda que desea modificar.</t>
  </si>
  <si>
    <t>4.  Para visualizar las planillas descomprima, utilizando la macro que está ubicada en la hoja "Información General" parte superior derecha</t>
  </si>
  <si>
    <t>1130103-4</t>
  </si>
  <si>
    <t xml:space="preserve"> Aportes Patronales  1o. Nivel</t>
  </si>
  <si>
    <t>1130103-5</t>
  </si>
  <si>
    <t xml:space="preserve"> Aportes Patronales  2o. Nivel</t>
  </si>
  <si>
    <t>1130103-6</t>
  </si>
  <si>
    <t xml:space="preserve"> Aportes Patronales  3er. Nivel</t>
  </si>
  <si>
    <t>APORTES (No ligados a la venta de servicios de salud)</t>
  </si>
  <si>
    <t>Otros ingresos corrientes</t>
  </si>
  <si>
    <t>11304-1</t>
  </si>
  <si>
    <t>11304-2</t>
  </si>
  <si>
    <t>11304-3</t>
  </si>
  <si>
    <t>11304-4</t>
  </si>
  <si>
    <t>11304-5</t>
  </si>
  <si>
    <t>11304-6</t>
  </si>
  <si>
    <t>11304-7</t>
  </si>
  <si>
    <t>CONVENIOS CON EL DEPARTAMENTO LIGADOS A LA VENTA DE SERVICIOS</t>
  </si>
  <si>
    <t>CONVENIOS CON EL MUNICIPIO LIGADOS A LA VENTA DE SERVICIOS</t>
  </si>
  <si>
    <t>Otras Ventas de Servicios</t>
  </si>
  <si>
    <t>RECURSOS PARA PROGRAMA DE SANEAMIENTO FINANCIERO</t>
  </si>
  <si>
    <t>11303-7</t>
  </si>
  <si>
    <t>11303-8</t>
  </si>
  <si>
    <t>Vigencia Anterior</t>
  </si>
  <si>
    <t>4100200-2</t>
  </si>
  <si>
    <t>4100200-3</t>
  </si>
  <si>
    <t>5100100-7</t>
  </si>
  <si>
    <t>5100100-8</t>
  </si>
  <si>
    <t>4100100-6</t>
  </si>
  <si>
    <t>4100100-7</t>
  </si>
  <si>
    <t>VIGENCIA ANTERIOR</t>
  </si>
  <si>
    <t>GASTOS DE OPERACION COMERCIAL Y PRESTACION DE SERVICIOS</t>
  </si>
  <si>
    <t>Vigencias Anteriores</t>
  </si>
  <si>
    <t>VIGENCIAS ANTERIORES</t>
  </si>
  <si>
    <t>ADMINISTRADORAS DE RIESGOS LABORALES</t>
  </si>
  <si>
    <t>SS</t>
  </si>
  <si>
    <t>Contribuciones - SGP - Aportes Patronales - Cuentas Maestras</t>
  </si>
  <si>
    <t>E.P.S. - Aportes cuentas maestras</t>
  </si>
  <si>
    <t>Fondos pensionales - Aportes cuentas maestras</t>
  </si>
  <si>
    <t>Fondos de cesantías - Aportes cuentas maestras</t>
  </si>
  <si>
    <t>Riesgos laborales - Aportes cuentas maestras</t>
  </si>
  <si>
    <t>E.P.S. - Aportes con recursos propios</t>
  </si>
  <si>
    <t>Fondos pensionales - Aportes con recursos propios</t>
  </si>
  <si>
    <t>Fondos de cesantías - Aportes con recursos propios</t>
  </si>
  <si>
    <t>Riesgos laborales - Aportes con recursos propios</t>
  </si>
  <si>
    <r>
      <t xml:space="preserve">Paga bonificación por servicios prestados? </t>
    </r>
    <r>
      <rPr>
        <sz val="10"/>
        <color indexed="10"/>
        <rFont val="Arial"/>
        <family val="2"/>
      </rPr>
      <t>(Si la paga digite 1, si no 0)</t>
    </r>
  </si>
  <si>
    <t>Bonificación  por servicios prestados</t>
  </si>
  <si>
    <t>Bonificación Convencional</t>
  </si>
  <si>
    <t>Auxilio de Alimentación</t>
  </si>
  <si>
    <t>BONIFICACION POR SERVICIOS PRESTADOS</t>
  </si>
  <si>
    <t>AUXILIO DE TRANSPORTE</t>
  </si>
  <si>
    <t>AUXILIO DE ALIMENTACION</t>
  </si>
  <si>
    <t>POR FAVOR VERIFIQUE LAS FORMULAS DE ACUERDO A COMO ESTA REGLAMENTO CADA CONCEPTO EN SU ENTIDAD
MUESTRE U OCULTE LAS CELDAS QUE REQUIERA</t>
  </si>
  <si>
    <t>1. La plantilla es sólo un modelo sugerido, pero puede ser modificado, de acuerdo a la particularidad de cada Institución, para ajustarlo a su necesidad  simplemente desproteja las hojas, las cuales no tienen contraseñas para su desprotección</t>
  </si>
  <si>
    <t>5.  Debe verificar las formulas de las prestaciones sociales de acuerdo con la normatividad vigente en su Hospital</t>
  </si>
  <si>
    <t>5.  Puede ocultar o mostrar las celdas que requiera de acuerdo a las celdas que requiere utilizar</t>
  </si>
  <si>
    <t>1010104-6</t>
  </si>
  <si>
    <t>1010104-7</t>
  </si>
  <si>
    <t>1020104-6</t>
  </si>
  <si>
    <t>1020104-7</t>
  </si>
  <si>
    <t>1010200-5</t>
  </si>
  <si>
    <t>2020202-11</t>
  </si>
  <si>
    <t>8001000-5</t>
  </si>
  <si>
    <t>PARA HOSPITALES MUNICIPALES: Una vez el Gobierno Nacional determine los limite maximos aplicables a los empleados publicos de las entidades territoriales, se realice el tramite respectivo para definir el aumento salarial de la vigencia 2019 ante el Consejo Municipal y se realice la respectiva adopción por la Junta Directiva, se recalculan las asignaciones básicas de cada cargo y se hacen los ajustes presupuestales respectivos con retroactividad al 1° de enero de 2019.</t>
  </si>
  <si>
    <t>1020200-3</t>
  </si>
  <si>
    <t>Otros Honorarios</t>
  </si>
  <si>
    <t>Esta plantilla no constituye un proyecto de acuerdo para el incremento salarial ni tampoco para la modificacion de planta de cargos.  Si bien se calculan los costos de los cargos a proveer, aquellos cargos no provisots no se suprimen de la planta de cargos con esta PROYECCCION.</t>
  </si>
  <si>
    <t>PARA HOSPITALES DEPARTAMENTALES: Según el artículo 5° de la Ordenanza N° 7 del 15/06/2017, en Enero de 2019, la Junta Directiva mediante Acuerdo adoptará un incremento salarial del IPC y una vez sea expedida la ordenanza con el incremento anual de salarios, se recalculan las asignaciones básicas de cada cargo y se hacen los ajustes presupuestales respectivos con retroactividad al 1° de enero de 2019.</t>
  </si>
  <si>
    <t>MEDIMAS</t>
  </si>
  <si>
    <t>COLPENSIONES</t>
  </si>
  <si>
    <t>211</t>
  </si>
  <si>
    <t>243</t>
  </si>
  <si>
    <t>COOMEVA</t>
  </si>
  <si>
    <t>SALUD TOTAL</t>
  </si>
  <si>
    <t>FONDO NACIONAL</t>
  </si>
  <si>
    <t>CRUZ BLANCA</t>
  </si>
  <si>
    <t>SANITAS</t>
  </si>
  <si>
    <t>1010104-11</t>
  </si>
  <si>
    <t>SURA EPS</t>
  </si>
  <si>
    <t>RECOMENDACIONES PARA EL USO DE PLANTILLA SUGERIDA PARA LA VIGENCIA DE 2021</t>
  </si>
  <si>
    <t>PROYECCION ASIGNACIONES BASICAS PARA 2021</t>
  </si>
  <si>
    <t>NOTA: ESTE CERTIFICADO DEBE SER ENVIADO A LA SSSA - DIRECCION DE GESTION INTEGRAL DE RECURSOS ANTES DEL 31 DE ENERO DE 2021 PARA CONSOLIDAR LA INFORMACIONA REPORTAR A LA SUPERINTENDENCIA NACIONAL DE SALUD</t>
  </si>
  <si>
    <t>Dado en xxx a los xx días del mes de enero de 2021</t>
  </si>
  <si>
    <t>ITAGUI</t>
  </si>
  <si>
    <t>ESE HOSPITAL SAN RAFAEL DE ITAGUI</t>
  </si>
  <si>
    <t xml:space="preserve">MARLENY MARULANDA LOPEZ </t>
  </si>
  <si>
    <t>AUXILIAR ADMINISTRATIVO ESTADÍSTICA</t>
  </si>
  <si>
    <t xml:space="preserve">JOSE ALBERT BOHORQUEZ ZULETA </t>
  </si>
  <si>
    <t xml:space="preserve">PROFESIONAL UNIVERSITARIO TECNICO SERVICIO FARMACEUTICO </t>
  </si>
  <si>
    <t xml:space="preserve">PATRICIA ELENA OSSA FERNANDEZ </t>
  </si>
  <si>
    <t>SECRETARIA</t>
  </si>
  <si>
    <t xml:space="preserve">JOHANNA ANDREA PEREZ MUÑOZ </t>
  </si>
  <si>
    <t xml:space="preserve">AUXILIAR ADMINISTRATIVO   </t>
  </si>
  <si>
    <t xml:space="preserve">JAIRO ANTONIO SANTA HIGUITA </t>
  </si>
  <si>
    <t>JEFE CONTROL INTERNO</t>
  </si>
  <si>
    <t xml:space="preserve">SUBGERENTE SERVICIOS DE SALUD DEL </t>
  </si>
  <si>
    <t>SUBGERENTE GENERAL</t>
  </si>
  <si>
    <t>GERENTE EMPRESA SOCIAL DEL ESTADO</t>
  </si>
  <si>
    <t xml:space="preserve">MARIA EDILIA GAVIRIA BEDOYA </t>
  </si>
  <si>
    <t>ASISTENCIALES URGENCIAS</t>
  </si>
  <si>
    <t xml:space="preserve">MONICA MARIA LOAIZA ECHAVARRIA </t>
  </si>
  <si>
    <t xml:space="preserve">LUZ NELLY JARAMILLO GALLO </t>
  </si>
  <si>
    <t xml:space="preserve">BEATRIZ ELENA RIVAS GARCIA </t>
  </si>
  <si>
    <t xml:space="preserve">GLORIA PATRICIA CASAFUS GOEZ </t>
  </si>
  <si>
    <t xml:space="preserve">FERNANDO JAVIER RINCON MONSALVE </t>
  </si>
  <si>
    <t xml:space="preserve">MIRTA ROSA GARCIA PADILLA </t>
  </si>
  <si>
    <t xml:space="preserve">OMAR RAMIRO ROMERO OCHOA </t>
  </si>
  <si>
    <t>MEDICO GENERAL</t>
  </si>
  <si>
    <t xml:space="preserve">GUSTAVO ALBERTO CORTES CARDONA </t>
  </si>
  <si>
    <t>CIRUGIA</t>
  </si>
  <si>
    <t xml:space="preserve">HERNANDO ALBERTO SALDARRIAGA MUÑOZ </t>
  </si>
  <si>
    <t xml:space="preserve">MANUEL EUGENIO GIL ESCOBAR </t>
  </si>
  <si>
    <t>CONSULTA ESPECIALIZADA</t>
  </si>
  <si>
    <t xml:space="preserve">ADRIANA MARIA GIL GONZALEZ </t>
  </si>
  <si>
    <t xml:space="preserve">MARIA DEL SOCORRO PARRA ISAZA </t>
  </si>
  <si>
    <t xml:space="preserve">DIEGO FERNANDO URREGO CADAVID </t>
  </si>
  <si>
    <t>HOSPITALIZACION</t>
  </si>
  <si>
    <t xml:space="preserve">HERNAN AUGUSTO GOMEZ CARDENAS </t>
  </si>
  <si>
    <t xml:space="preserve">MARIA ISABEL JARAMILLO GONZALEZ </t>
  </si>
  <si>
    <t xml:space="preserve">MARIA EDILMA URAN VARGAS </t>
  </si>
  <si>
    <t xml:space="preserve">IRENE  RUIZ JOVEN </t>
  </si>
  <si>
    <t xml:space="preserve">PATRICIA DEL SOCORRO GIRALDO ALZATE </t>
  </si>
  <si>
    <t>LABORATORIO</t>
  </si>
  <si>
    <t xml:space="preserve">LUIS FERNANDO POSADA GOMEZ </t>
  </si>
  <si>
    <t xml:space="preserve">NIDIA YOLANDA RESTREPO GOMEZ </t>
  </si>
  <si>
    <t xml:space="preserve">MONICA STELLA HERRERA LONDOÑO </t>
  </si>
  <si>
    <t xml:space="preserve">YAMILE   MONOSALVA SALCEDO </t>
  </si>
  <si>
    <t xml:space="preserve">WISNER ELEISON PEREA PEREA </t>
  </si>
  <si>
    <t xml:space="preserve">GERARDO   ADARME GOMEZ </t>
  </si>
  <si>
    <t>UCI</t>
  </si>
  <si>
    <t>LINA MARCELA MONTOYA RODAS</t>
  </si>
  <si>
    <t>DIEGO LEON MUÑOZ ZAPATA</t>
  </si>
  <si>
    <t>JAIME ANDRES HERRERA MOLINA</t>
  </si>
  <si>
    <t>COORDINADORA LABORATORIO</t>
  </si>
  <si>
    <t>BEATRIZ  PEREZ PATIÑO</t>
  </si>
  <si>
    <t>Gerente E.S.E</t>
  </si>
  <si>
    <t>090</t>
  </si>
  <si>
    <t>Subgerente servicios de salud</t>
  </si>
  <si>
    <t xml:space="preserve">Suggerente general </t>
  </si>
  <si>
    <t>006</t>
  </si>
  <si>
    <t>Jefe oficina control interno</t>
  </si>
  <si>
    <t>219</t>
  </si>
  <si>
    <t>Profesional universitario</t>
  </si>
  <si>
    <t>440</t>
  </si>
  <si>
    <t>Secretaria</t>
  </si>
  <si>
    <t>407</t>
  </si>
  <si>
    <t>Auxiliar administrativo (estadistica)</t>
  </si>
  <si>
    <t>Auxiliar administrativo (financiero y personal)</t>
  </si>
  <si>
    <t>213</t>
  </si>
  <si>
    <t>Medico especialista</t>
  </si>
  <si>
    <t>Medico especialista (gineco-obstetra)</t>
  </si>
  <si>
    <t>Medico general</t>
  </si>
  <si>
    <t>Enfermero</t>
  </si>
  <si>
    <t>237</t>
  </si>
  <si>
    <t>Profesional universitario area de la salud bacteriologo</t>
  </si>
  <si>
    <t>Profesional universitario area de la salud bacteriologo (coodinacion laboratorio)</t>
  </si>
  <si>
    <t>Auxiliar area de la salud enfermeria</t>
  </si>
  <si>
    <t>Auxiliar area de la salud enfermeria (laboratorio)</t>
  </si>
  <si>
    <t>ESCOBAR SALDARRIAGA MARIA SAMARIA</t>
  </si>
  <si>
    <t>COLMENA</t>
  </si>
  <si>
    <t>COMFENALCO ANTIOQUIA</t>
  </si>
  <si>
    <t>MEDICO ESPECIALISTA</t>
  </si>
  <si>
    <t>2.1.2.01.01.003.06</t>
  </si>
  <si>
    <t>2.1.2.01.01.005</t>
  </si>
  <si>
    <t>2.1.2.02.01.001</t>
  </si>
  <si>
    <t>2.1.2.02.01.003</t>
  </si>
  <si>
    <t>2.1.2.02.02.006</t>
  </si>
  <si>
    <t>2.1.2.02.02.007</t>
  </si>
  <si>
    <t>2.1.2.02.02.008</t>
  </si>
  <si>
    <t>2.1.2.02.02.009</t>
  </si>
  <si>
    <t>2.1.3.04.05.001</t>
  </si>
  <si>
    <t>2.1.3.07.02.001</t>
  </si>
  <si>
    <t>2.1.3.07.02.002.02</t>
  </si>
  <si>
    <t>2.1.3.13.01.001</t>
  </si>
  <si>
    <t>2.1.5.01.03</t>
  </si>
  <si>
    <t>2.1.5.02.06</t>
  </si>
  <si>
    <t>2.1.5.02.09</t>
  </si>
  <si>
    <t>2.1.7.01.01</t>
  </si>
  <si>
    <t>2.1.8.04.01</t>
  </si>
  <si>
    <t> 17413600000</t>
  </si>
</sst>
</file>

<file path=xl/styles.xml><?xml version="1.0" encoding="utf-8"?>
<styleSheet xmlns="http://schemas.openxmlformats.org/spreadsheetml/2006/main">
  <numFmts count="4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quot;\ #,##0;&quot;$&quot;\ \-#,##0"/>
    <numFmt numFmtId="181" formatCode="&quot;$&quot;\ #,##0;[Red]&quot;$&quot;\ \-#,##0"/>
    <numFmt numFmtId="182" formatCode="&quot;$&quot;\ #,##0.00;&quot;$&quot;\ \-#,##0.00"/>
    <numFmt numFmtId="183" formatCode="&quot;$&quot;\ #,##0.00;[Red]&quot;$&quot;\ \-#,##0.00"/>
    <numFmt numFmtId="184" formatCode="_ &quot;$&quot;\ * #,##0_ ;_ &quot;$&quot;\ * \-#,##0_ ;_ &quot;$&quot;\ * &quot;-&quot;_ ;_ @_ "/>
    <numFmt numFmtId="185" formatCode="_ * #,##0_ ;_ * \-#,##0_ ;_ * &quot;-&quot;_ ;_ @_ "/>
    <numFmt numFmtId="186" formatCode="_ &quot;$&quot;\ * #,##0.00_ ;_ &quot;$&quot;\ * \-#,##0.00_ ;_ &quot;$&quot;\ * &quot;-&quot;??_ ;_ @_ "/>
    <numFmt numFmtId="187" formatCode="_ * #,##0.00_ ;_ * \-#,##0.00_ ;_ * &quot;-&quot;??_ ;_ @_ "/>
    <numFmt numFmtId="188" formatCode="_(* #,##0_);_(* \(#,##0\);_(* &quot;-&quot;??_);_(@_)"/>
    <numFmt numFmtId="189" formatCode="0000"/>
    <numFmt numFmtId="190" formatCode="0,000"/>
    <numFmt numFmtId="191" formatCode="#,##0.000"/>
    <numFmt numFmtId="192" formatCode="#,##0.0000"/>
    <numFmt numFmtId="193" formatCode="0.0%"/>
    <numFmt numFmtId="194" formatCode="0.000%"/>
    <numFmt numFmtId="195" formatCode="\X"/>
    <numFmt numFmtId="196" formatCode="&quot;TOTAL INGRESOS DE &quot;\ @"/>
    <numFmt numFmtId="197" formatCode="&quot;TOTAL GASTOS DE &quot;\ @"/>
    <numFmt numFmtId="198" formatCode="#,##0.0"/>
    <numFmt numFmtId="199" formatCode="&quot;Sí&quot;;&quot;Sí&quot;;&quot;No&quot;"/>
    <numFmt numFmtId="200" formatCode="&quot;Verdadero&quot;;&quot;Verdadero&quot;;&quot;Falso&quot;"/>
    <numFmt numFmtId="201" formatCode="&quot;Activado&quot;;&quot;Activado&quot;;&quot;Desactivado&quot;"/>
    <numFmt numFmtId="202" formatCode="[$€-2]\ #,##0.00_);[Red]\([$€-2]\ #,##0.00\)"/>
    <numFmt numFmtId="203" formatCode="&quot;$&quot;#,##0.00"/>
  </numFmts>
  <fonts count="144">
    <font>
      <sz val="10"/>
      <name val="Arial"/>
      <family val="0"/>
    </font>
    <font>
      <sz val="11"/>
      <color indexed="8"/>
      <name val="Calibri"/>
      <family val="2"/>
    </font>
    <font>
      <b/>
      <sz val="10"/>
      <name val="Arial"/>
      <family val="2"/>
    </font>
    <font>
      <sz val="8"/>
      <name val="Arial"/>
      <family val="2"/>
    </font>
    <font>
      <sz val="10"/>
      <color indexed="12"/>
      <name val="Arial"/>
      <family val="2"/>
    </font>
    <font>
      <sz val="12"/>
      <name val="Arial"/>
      <family val="2"/>
    </font>
    <font>
      <b/>
      <sz val="12"/>
      <name val="Arial"/>
      <family val="2"/>
    </font>
    <font>
      <sz val="12"/>
      <color indexed="12"/>
      <name val="Arial"/>
      <family val="2"/>
    </font>
    <font>
      <sz val="9"/>
      <name val="Arial"/>
      <family val="2"/>
    </font>
    <font>
      <sz val="10"/>
      <color indexed="8"/>
      <name val="Arial"/>
      <family val="2"/>
    </font>
    <font>
      <b/>
      <sz val="9"/>
      <name val="Arial"/>
      <family val="2"/>
    </font>
    <font>
      <sz val="9"/>
      <color indexed="12"/>
      <name val="Arial"/>
      <family val="2"/>
    </font>
    <font>
      <sz val="8"/>
      <color indexed="8"/>
      <name val="Arial"/>
      <family val="2"/>
    </font>
    <font>
      <b/>
      <sz val="8"/>
      <name val="Arial"/>
      <family val="2"/>
    </font>
    <font>
      <b/>
      <sz val="12"/>
      <color indexed="10"/>
      <name val="Arial"/>
      <family val="2"/>
    </font>
    <font>
      <sz val="9"/>
      <color indexed="10"/>
      <name val="Arial"/>
      <family val="2"/>
    </font>
    <font>
      <sz val="14"/>
      <color indexed="10"/>
      <name val="Arial"/>
      <family val="2"/>
    </font>
    <font>
      <sz val="12"/>
      <color indexed="8"/>
      <name val="Arial"/>
      <family val="2"/>
    </font>
    <font>
      <sz val="9"/>
      <color indexed="48"/>
      <name val="Arial"/>
      <family val="2"/>
    </font>
    <font>
      <sz val="9"/>
      <color indexed="50"/>
      <name val="Arial"/>
      <family val="2"/>
    </font>
    <font>
      <b/>
      <sz val="12"/>
      <color indexed="14"/>
      <name val="Arial"/>
      <family val="2"/>
    </font>
    <font>
      <b/>
      <sz val="10"/>
      <color indexed="8"/>
      <name val="Arial"/>
      <family val="2"/>
    </font>
    <font>
      <b/>
      <sz val="14"/>
      <color indexed="8"/>
      <name val="Arial"/>
      <family val="2"/>
    </font>
    <font>
      <sz val="8"/>
      <name val="Tahoma"/>
      <family val="2"/>
    </font>
    <font>
      <sz val="16"/>
      <color indexed="14"/>
      <name val="Arial"/>
      <family val="2"/>
    </font>
    <font>
      <b/>
      <sz val="12"/>
      <color indexed="8"/>
      <name val="Arial"/>
      <family val="2"/>
    </font>
    <font>
      <b/>
      <sz val="11"/>
      <color indexed="8"/>
      <name val="Arial"/>
      <family val="2"/>
    </font>
    <font>
      <sz val="10"/>
      <color indexed="10"/>
      <name val="Arial"/>
      <family val="2"/>
    </font>
    <font>
      <sz val="12"/>
      <name val="Times New Roman"/>
      <family val="1"/>
    </font>
    <font>
      <b/>
      <sz val="12"/>
      <color indexed="12"/>
      <name val="Arial"/>
      <family val="2"/>
    </font>
    <font>
      <b/>
      <sz val="15"/>
      <name val="Arial"/>
      <family val="2"/>
    </font>
    <font>
      <b/>
      <sz val="14"/>
      <color indexed="12"/>
      <name val="Arial"/>
      <family val="2"/>
    </font>
    <font>
      <b/>
      <sz val="10"/>
      <color indexed="48"/>
      <name val="Arial"/>
      <family val="2"/>
    </font>
    <font>
      <b/>
      <sz val="8"/>
      <color indexed="48"/>
      <name val="Arial"/>
      <family val="2"/>
    </font>
    <font>
      <b/>
      <sz val="12"/>
      <color indexed="48"/>
      <name val="Arial"/>
      <family val="2"/>
    </font>
    <font>
      <b/>
      <sz val="12"/>
      <color indexed="56"/>
      <name val="Arial"/>
      <family val="2"/>
    </font>
    <font>
      <b/>
      <sz val="13"/>
      <color indexed="21"/>
      <name val="Arial"/>
      <family val="2"/>
    </font>
    <font>
      <b/>
      <sz val="13"/>
      <color indexed="56"/>
      <name val="Arial"/>
      <family val="2"/>
    </font>
    <font>
      <b/>
      <sz val="17"/>
      <color indexed="12"/>
      <name val="Arial"/>
      <family val="2"/>
    </font>
    <font>
      <b/>
      <sz val="14"/>
      <color indexed="10"/>
      <name val="Arial"/>
      <family val="2"/>
    </font>
    <font>
      <b/>
      <sz val="13"/>
      <name val="Arial"/>
      <family val="2"/>
    </font>
    <font>
      <sz val="10"/>
      <color indexed="40"/>
      <name val="Arial"/>
      <family val="2"/>
    </font>
    <font>
      <sz val="11"/>
      <name val="Arial"/>
      <family val="2"/>
    </font>
    <font>
      <b/>
      <sz val="13"/>
      <color indexed="20"/>
      <name val="Arial"/>
      <family val="2"/>
    </font>
    <font>
      <sz val="10"/>
      <color indexed="47"/>
      <name val="Arial"/>
      <family val="2"/>
    </font>
    <font>
      <b/>
      <sz val="10"/>
      <color indexed="47"/>
      <name val="Arial"/>
      <family val="2"/>
    </font>
    <font>
      <sz val="13"/>
      <name val="Arial"/>
      <family val="2"/>
    </font>
    <font>
      <sz val="15"/>
      <name val="Arial"/>
      <family val="2"/>
    </font>
    <font>
      <b/>
      <sz val="20"/>
      <color indexed="56"/>
      <name val="Arial"/>
      <family val="2"/>
    </font>
    <font>
      <b/>
      <sz val="13"/>
      <color indexed="56"/>
      <name val="Arial Rounded MT Bold"/>
      <family val="2"/>
    </font>
    <font>
      <b/>
      <sz val="18"/>
      <color indexed="16"/>
      <name val="Arial"/>
      <family val="2"/>
    </font>
    <font>
      <b/>
      <sz val="18"/>
      <color indexed="62"/>
      <name val="Arial"/>
      <family val="2"/>
    </font>
    <font>
      <b/>
      <sz val="14"/>
      <color indexed="57"/>
      <name val="Arial"/>
      <family val="2"/>
    </font>
    <font>
      <sz val="12"/>
      <color indexed="8"/>
      <name val="Tahoma"/>
      <family val="2"/>
    </font>
    <font>
      <sz val="12"/>
      <name val="Tahoma"/>
      <family val="2"/>
    </font>
    <font>
      <sz val="11"/>
      <color indexed="8"/>
      <name val="Tahoma"/>
      <family val="2"/>
    </font>
    <font>
      <sz val="11"/>
      <color indexed="12"/>
      <name val="Tahoma"/>
      <family val="2"/>
    </font>
    <font>
      <sz val="10"/>
      <color indexed="8"/>
      <name val="Tahoma"/>
      <family val="2"/>
    </font>
    <font>
      <sz val="10"/>
      <name val="Tahoma"/>
      <family val="2"/>
    </font>
    <font>
      <sz val="10"/>
      <color indexed="12"/>
      <name val="Tahoma"/>
      <family val="2"/>
    </font>
    <font>
      <sz val="12"/>
      <color indexed="12"/>
      <name val="Tahoma"/>
      <family val="2"/>
    </font>
    <font>
      <sz val="11"/>
      <color indexed="18"/>
      <name val="Tahoma"/>
      <family val="2"/>
    </font>
    <font>
      <sz val="11"/>
      <color indexed="56"/>
      <name val="Tahoma"/>
      <family val="2"/>
    </font>
    <font>
      <b/>
      <sz val="13"/>
      <color indexed="8"/>
      <name val="Arial"/>
      <family val="2"/>
    </font>
    <font>
      <sz val="11"/>
      <name val="Tahoma"/>
      <family val="2"/>
    </font>
    <font>
      <b/>
      <sz val="11"/>
      <name val="Arial"/>
      <family val="2"/>
    </font>
    <font>
      <b/>
      <sz val="15"/>
      <color indexed="10"/>
      <name val="Arial"/>
      <family val="2"/>
    </font>
    <font>
      <b/>
      <sz val="14"/>
      <color indexed="56"/>
      <name val="Arial Rounded MT Bold"/>
      <family val="2"/>
    </font>
    <font>
      <sz val="9"/>
      <color indexed="18"/>
      <name val="Arial"/>
      <family val="2"/>
    </font>
    <font>
      <sz val="8"/>
      <color indexed="18"/>
      <name val="Arial"/>
      <family val="2"/>
    </font>
    <font>
      <sz val="8"/>
      <color indexed="12"/>
      <name val="Arial"/>
      <family val="2"/>
    </font>
    <font>
      <sz val="12"/>
      <color indexed="12"/>
      <name val="Times New Roman"/>
      <family val="1"/>
    </font>
    <font>
      <sz val="12"/>
      <color indexed="18"/>
      <name val="Times New Roman"/>
      <family val="1"/>
    </font>
    <font>
      <sz val="15"/>
      <name val="Arial Rounded MT Bold"/>
      <family val="2"/>
    </font>
    <font>
      <b/>
      <sz val="10"/>
      <color indexed="10"/>
      <name val="Arial"/>
      <family val="2"/>
    </font>
    <font>
      <b/>
      <sz val="9"/>
      <color indexed="56"/>
      <name val="Arial"/>
      <family val="2"/>
    </font>
    <font>
      <b/>
      <sz val="15"/>
      <color indexed="14"/>
      <name val="Arial"/>
      <family val="2"/>
    </font>
    <font>
      <b/>
      <sz val="14"/>
      <color indexed="14"/>
      <name val="Arial"/>
      <family val="2"/>
    </font>
    <font>
      <b/>
      <i/>
      <sz val="12"/>
      <color indexed="10"/>
      <name val="Arial"/>
      <family val="2"/>
    </font>
    <font>
      <b/>
      <sz val="14"/>
      <color indexed="62"/>
      <name val="Arial Rounded MT Bold"/>
      <family val="2"/>
    </font>
    <font>
      <b/>
      <sz val="14"/>
      <name val="Arial"/>
      <family val="2"/>
    </font>
    <font>
      <sz val="9"/>
      <name val="Tahoma"/>
      <family val="2"/>
    </font>
    <font>
      <b/>
      <sz val="14"/>
      <color indexed="20"/>
      <name val="Arial"/>
      <family val="2"/>
    </font>
    <font>
      <b/>
      <sz val="9"/>
      <name val="Tahoma"/>
      <family val="2"/>
    </font>
    <font>
      <sz val="11"/>
      <color indexed="9"/>
      <name val="Calibri"/>
      <family val="2"/>
    </font>
    <font>
      <sz val="11"/>
      <color indexed="17"/>
      <name val="Calibri"/>
      <family val="2"/>
    </font>
    <font>
      <b/>
      <sz val="11"/>
      <color indexed="10"/>
      <name val="Calibri"/>
      <family val="2"/>
    </font>
    <font>
      <b/>
      <sz val="11"/>
      <color indexed="9"/>
      <name val="Calibri"/>
      <family val="2"/>
    </font>
    <font>
      <sz val="11"/>
      <color indexed="10"/>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19"/>
      <name val="Calibri"/>
      <family val="2"/>
    </font>
    <font>
      <b/>
      <sz val="11"/>
      <color indexed="63"/>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0"/>
      <color indexed="9"/>
      <name val="Arial"/>
      <family val="2"/>
    </font>
    <font>
      <sz val="9"/>
      <color indexed="9"/>
      <name val="Arial"/>
      <family val="2"/>
    </font>
    <font>
      <b/>
      <sz val="12"/>
      <color indexed="9"/>
      <name val="Arial"/>
      <family val="2"/>
    </font>
    <font>
      <sz val="12"/>
      <color indexed="9"/>
      <name val="Times New Roman"/>
      <family val="1"/>
    </font>
    <font>
      <sz val="12"/>
      <color indexed="9"/>
      <name val="Arial"/>
      <family val="2"/>
    </font>
    <font>
      <sz val="8"/>
      <color indexed="9"/>
      <name val="Arial"/>
      <family val="2"/>
    </font>
    <font>
      <sz val="13"/>
      <color indexed="9"/>
      <name val="Arial"/>
      <family val="2"/>
    </font>
    <font>
      <sz val="12"/>
      <color indexed="10"/>
      <name val="Arial"/>
      <family val="2"/>
    </font>
    <font>
      <b/>
      <sz val="9"/>
      <color indexed="9"/>
      <name val="Arial"/>
      <family val="2"/>
    </font>
    <font>
      <b/>
      <i/>
      <sz val="14"/>
      <color indexed="9"/>
      <name val="Arial"/>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0"/>
      <color rgb="FFFF0000"/>
      <name val="Arial"/>
      <family val="2"/>
    </font>
    <font>
      <sz val="10"/>
      <color theme="0"/>
      <name val="Arial"/>
      <family val="2"/>
    </font>
    <font>
      <sz val="9"/>
      <color theme="0"/>
      <name val="Arial"/>
      <family val="2"/>
    </font>
    <font>
      <b/>
      <sz val="11"/>
      <color theme="1"/>
      <name val="Arial"/>
      <family val="2"/>
    </font>
    <font>
      <b/>
      <sz val="12"/>
      <color theme="0"/>
      <name val="Arial"/>
      <family val="2"/>
    </font>
    <font>
      <sz val="12"/>
      <color theme="0"/>
      <name val="Times New Roman"/>
      <family val="1"/>
    </font>
    <font>
      <sz val="12"/>
      <color theme="0"/>
      <name val="Arial"/>
      <family val="2"/>
    </font>
    <font>
      <sz val="8"/>
      <color theme="0"/>
      <name val="Arial"/>
      <family val="2"/>
    </font>
    <font>
      <sz val="13"/>
      <color theme="0"/>
      <name val="Arial"/>
      <family val="2"/>
    </font>
    <font>
      <b/>
      <sz val="12"/>
      <color rgb="FFFF0000"/>
      <name val="Arial"/>
      <family val="2"/>
    </font>
    <font>
      <sz val="12"/>
      <color rgb="FFFF0000"/>
      <name val="Arial"/>
      <family val="2"/>
    </font>
    <font>
      <b/>
      <i/>
      <sz val="14"/>
      <color theme="0"/>
      <name val="Arial"/>
      <family val="2"/>
    </font>
    <font>
      <b/>
      <sz val="9"/>
      <color theme="0"/>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theme="0" tint="-0.1499900072813034"/>
        <bgColor indexed="64"/>
      </patternFill>
    </fill>
    <fill>
      <patternFill patternType="solid">
        <fgColor rgb="FFCCFFCC"/>
        <bgColor indexed="64"/>
      </patternFill>
    </fill>
    <fill>
      <patternFill patternType="solid">
        <fgColor rgb="FFFFFF00"/>
        <bgColor indexed="64"/>
      </patternFill>
    </fill>
    <fill>
      <patternFill patternType="solid">
        <fgColor theme="3" tint="0.7999799847602844"/>
        <bgColor indexed="64"/>
      </patternFill>
    </fill>
    <fill>
      <patternFill patternType="solid">
        <fgColor indexed="41"/>
        <bgColor indexed="64"/>
      </patternFill>
    </fill>
  </fills>
  <borders count="10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style="medium"/>
      <top/>
      <bottom/>
    </border>
    <border>
      <left style="medium"/>
      <right/>
      <top/>
      <bottom/>
    </border>
    <border>
      <left/>
      <right style="thin"/>
      <top/>
      <bottom style="thin"/>
    </border>
    <border>
      <left/>
      <right style="medium"/>
      <top/>
      <bottom style="thin"/>
    </border>
    <border>
      <left/>
      <right style="thin"/>
      <top style="thin"/>
      <bottom style="thin"/>
    </border>
    <border>
      <left/>
      <right style="medium"/>
      <top style="thin"/>
      <bottom style="thin"/>
    </border>
    <border>
      <left/>
      <right style="thin"/>
      <top style="thin"/>
      <bottom style="medium"/>
    </border>
    <border>
      <left/>
      <right style="medium"/>
      <top style="thin"/>
      <bottom style="medium"/>
    </border>
    <border>
      <left style="thin"/>
      <right style="medium"/>
      <top style="medium"/>
      <bottom style="medium"/>
    </border>
    <border>
      <left style="thin"/>
      <right style="thin"/>
      <top style="medium"/>
      <bottom style="medium"/>
    </border>
    <border>
      <left style="medium"/>
      <right style="thin"/>
      <top style="medium"/>
      <bottom style="medium"/>
    </border>
    <border>
      <left style="medium"/>
      <right style="thin"/>
      <top/>
      <bottom style="thin"/>
    </border>
    <border>
      <left style="thin"/>
      <right style="thin"/>
      <top/>
      <bottom style="thin"/>
    </border>
    <border>
      <left style="thin"/>
      <right style="medium"/>
      <top/>
      <bottom style="thin"/>
    </border>
    <border>
      <left style="medium"/>
      <right style="thin"/>
      <top style="thin"/>
      <bottom style="thin"/>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style="thin"/>
      <top style="thin"/>
      <bottom/>
    </border>
    <border>
      <left style="thin"/>
      <right style="thin"/>
      <top style="thin"/>
      <bottom/>
    </border>
    <border>
      <left style="thin"/>
      <right style="medium"/>
      <top style="thin"/>
      <bottom/>
    </border>
    <border>
      <left style="medium"/>
      <right style="thin"/>
      <top style="thin"/>
      <bottom style="medium"/>
    </border>
    <border>
      <left style="medium"/>
      <right style="medium"/>
      <top style="medium"/>
      <bottom style="thin"/>
    </border>
    <border>
      <left style="medium"/>
      <right style="thin"/>
      <top style="medium"/>
      <bottom style="thin"/>
    </border>
    <border>
      <left style="medium"/>
      <right style="thin"/>
      <top style="medium"/>
      <bottom/>
    </border>
    <border>
      <left style="thin"/>
      <right style="thin"/>
      <top style="medium"/>
      <bottom/>
    </border>
    <border>
      <left style="thin"/>
      <right style="medium"/>
      <top style="medium"/>
      <bottom/>
    </border>
    <border>
      <left style="thin"/>
      <right style="medium"/>
      <top style="medium"/>
      <bottom style="thin"/>
    </border>
    <border>
      <left style="medium"/>
      <right style="thin"/>
      <top/>
      <bottom style="medium"/>
    </border>
    <border>
      <left style="thin"/>
      <right style="medium"/>
      <top/>
      <bottom style="medium"/>
    </border>
    <border>
      <left style="thin"/>
      <right style="thin"/>
      <top style="medium"/>
      <bottom style="thin"/>
    </border>
    <border>
      <left style="medium"/>
      <right style="medium"/>
      <top style="thin"/>
      <bottom style="medium"/>
    </border>
    <border>
      <left style="medium"/>
      <right/>
      <top style="medium"/>
      <bottom style="thin"/>
    </border>
    <border>
      <left/>
      <right/>
      <top style="medium"/>
      <bottom style="thin"/>
    </border>
    <border>
      <left/>
      <right style="medium"/>
      <top style="medium"/>
      <bottom style="thin"/>
    </border>
    <border>
      <left style="medium"/>
      <right/>
      <top style="thin"/>
      <bottom style="thin"/>
    </border>
    <border>
      <left/>
      <right/>
      <top style="thin"/>
      <bottom style="thin"/>
    </border>
    <border>
      <left style="medium"/>
      <right/>
      <top style="medium"/>
      <bottom/>
    </border>
    <border>
      <left/>
      <right style="medium"/>
      <top style="medium"/>
      <bottom/>
    </border>
    <border>
      <left style="medium"/>
      <right/>
      <top/>
      <bottom style="medium"/>
    </border>
    <border>
      <left/>
      <right style="medium"/>
      <top/>
      <bottom style="medium"/>
    </border>
    <border>
      <left/>
      <right/>
      <top style="medium"/>
      <bottom/>
    </border>
    <border>
      <left/>
      <right style="thin"/>
      <top style="medium"/>
      <bottom style="thin"/>
    </border>
    <border>
      <left style="thin"/>
      <right style="thin"/>
      <top/>
      <bottom/>
    </border>
    <border>
      <left/>
      <right style="thin"/>
      <top/>
      <bottom/>
    </border>
    <border>
      <left/>
      <right style="thin"/>
      <top style="medium"/>
      <bottom style="medium"/>
    </border>
    <border>
      <left/>
      <right style="medium"/>
      <top style="medium"/>
      <bottom style="medium"/>
    </border>
    <border>
      <left style="medium"/>
      <right style="thin"/>
      <top/>
      <bottom/>
    </border>
    <border>
      <left style="medium"/>
      <right/>
      <top style="medium"/>
      <bottom style="medium"/>
    </border>
    <border>
      <left/>
      <right/>
      <top style="medium"/>
      <bottom style="medium"/>
    </border>
    <border>
      <left style="thin"/>
      <right/>
      <top/>
      <bottom/>
    </border>
    <border>
      <left/>
      <right/>
      <top/>
      <bottom style="thin"/>
    </border>
    <border>
      <left/>
      <right/>
      <top/>
      <bottom style="medium"/>
    </border>
    <border>
      <left style="medium"/>
      <right style="double">
        <color indexed="21"/>
      </right>
      <top style="double">
        <color indexed="21"/>
      </top>
      <bottom style="thin"/>
    </border>
    <border>
      <left style="medium"/>
      <right style="double">
        <color indexed="21"/>
      </right>
      <top style="thin"/>
      <bottom style="medium"/>
    </border>
    <border>
      <left style="double">
        <color indexed="21"/>
      </left>
      <right/>
      <top/>
      <bottom/>
    </border>
    <border>
      <left/>
      <right style="double">
        <color indexed="21"/>
      </right>
      <top/>
      <bottom/>
    </border>
    <border>
      <left style="double">
        <color indexed="21"/>
      </left>
      <right style="thin"/>
      <top style="medium"/>
      <bottom style="medium"/>
    </border>
    <border>
      <left style="thin"/>
      <right style="double">
        <color indexed="21"/>
      </right>
      <top style="medium"/>
      <bottom style="medium"/>
    </border>
    <border>
      <left style="double">
        <color indexed="21"/>
      </left>
      <right/>
      <top style="medium"/>
      <bottom style="thin"/>
    </border>
    <border>
      <left/>
      <right style="double">
        <color indexed="21"/>
      </right>
      <top style="medium"/>
      <bottom style="thin"/>
    </border>
    <border>
      <left style="double">
        <color indexed="21"/>
      </left>
      <right style="thin"/>
      <top style="thin"/>
      <bottom style="thin"/>
    </border>
    <border>
      <left style="thin"/>
      <right style="double">
        <color indexed="21"/>
      </right>
      <top style="thin"/>
      <bottom style="thin"/>
    </border>
    <border>
      <left style="double">
        <color indexed="21"/>
      </left>
      <right/>
      <top/>
      <bottom style="medium"/>
    </border>
    <border>
      <left/>
      <right style="double">
        <color indexed="21"/>
      </right>
      <top/>
      <bottom style="medium"/>
    </border>
    <border>
      <left style="double">
        <color indexed="21"/>
      </left>
      <right style="thin"/>
      <top style="medium"/>
      <bottom style="thin"/>
    </border>
    <border>
      <left style="thin"/>
      <right style="double">
        <color indexed="21"/>
      </right>
      <top style="medium"/>
      <bottom style="thin"/>
    </border>
    <border>
      <left style="double">
        <color indexed="21"/>
      </left>
      <right/>
      <top/>
      <bottom style="thin"/>
    </border>
    <border>
      <left/>
      <right style="double">
        <color indexed="21"/>
      </right>
      <top/>
      <bottom style="thin"/>
    </border>
    <border>
      <left style="double">
        <color indexed="21"/>
      </left>
      <right style="thin"/>
      <top style="medium"/>
      <bottom style="double">
        <color indexed="21"/>
      </bottom>
    </border>
    <border>
      <left style="thin"/>
      <right style="thin"/>
      <top style="medium"/>
      <bottom style="double">
        <color indexed="21"/>
      </bottom>
    </border>
    <border>
      <left style="thin"/>
      <right style="double">
        <color indexed="21"/>
      </right>
      <top style="medium"/>
      <bottom style="double">
        <color indexed="21"/>
      </bottom>
    </border>
    <border>
      <left style="double">
        <color indexed="21"/>
      </left>
      <right style="thin"/>
      <top/>
      <bottom style="thin"/>
    </border>
    <border>
      <left style="thin"/>
      <right style="double">
        <color indexed="21"/>
      </right>
      <top/>
      <bottom style="thin"/>
    </border>
    <border>
      <left style="double">
        <color indexed="21"/>
      </left>
      <right/>
      <top style="medium"/>
      <bottom style="medium"/>
    </border>
    <border>
      <left style="double">
        <color indexed="21"/>
      </left>
      <right/>
      <top style="medium"/>
      <bottom style="double">
        <color indexed="21"/>
      </bottom>
    </border>
    <border>
      <left style="medium"/>
      <right style="double">
        <color indexed="21"/>
      </right>
      <top/>
      <bottom style="medium"/>
    </border>
    <border>
      <left style="medium"/>
      <right style="double">
        <color indexed="21"/>
      </right>
      <top style="medium"/>
      <bottom style="medium"/>
    </border>
    <border>
      <left style="medium"/>
      <right style="double">
        <color indexed="21"/>
      </right>
      <top style="medium"/>
      <bottom style="double">
        <color indexed="21"/>
      </bottom>
    </border>
    <border>
      <left style="medium"/>
      <right style="medium"/>
      <top style="medium"/>
      <bottom style="medium"/>
    </border>
    <border>
      <left style="double">
        <color indexed="21"/>
      </left>
      <right style="thin"/>
      <top style="thin"/>
      <bottom>
        <color indexed="63"/>
      </bottom>
    </border>
    <border>
      <left style="thin"/>
      <right/>
      <top style="thin"/>
      <bottom style="thin"/>
    </border>
    <border>
      <left style="thin"/>
      <right style="thin"/>
      <top style="thin"/>
      <bottom style="double"/>
    </border>
    <border>
      <left>
        <color indexed="63"/>
      </left>
      <right>
        <color indexed="63"/>
      </right>
      <top>
        <color indexed="63"/>
      </top>
      <bottom style="double"/>
    </border>
    <border>
      <left style="medium"/>
      <right/>
      <top style="medium"/>
      <bottom style="double">
        <color indexed="21"/>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thin"/>
      <right/>
      <top style="medium"/>
      <bottom style="thin"/>
    </border>
    <border>
      <left style="medium"/>
      <right/>
      <top style="thin"/>
      <bottom style="medium"/>
    </border>
    <border>
      <left/>
      <right/>
      <top style="thin"/>
      <bottom style="medium"/>
    </border>
    <border>
      <left style="thin"/>
      <right/>
      <top style="medium"/>
      <bottom style="medium"/>
    </border>
    <border>
      <left/>
      <right style="double">
        <color indexed="21"/>
      </right>
      <top style="medium"/>
      <bottom style="medium"/>
    </border>
    <border>
      <left style="double">
        <color indexed="21"/>
      </left>
      <right/>
      <top style="double">
        <color indexed="21"/>
      </top>
      <bottom/>
    </border>
    <border>
      <left/>
      <right/>
      <top style="double">
        <color indexed="21"/>
      </top>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2" fillId="2" borderId="0" applyNumberFormat="0" applyBorder="0" applyAlignment="0" applyProtection="0"/>
    <xf numFmtId="0" fontId="112" fillId="3" borderId="0" applyNumberFormat="0" applyBorder="0" applyAlignment="0" applyProtection="0"/>
    <xf numFmtId="0" fontId="112" fillId="4" borderId="0" applyNumberFormat="0" applyBorder="0" applyAlignment="0" applyProtection="0"/>
    <xf numFmtId="0" fontId="112" fillId="5" borderId="0" applyNumberFormat="0" applyBorder="0" applyAlignment="0" applyProtection="0"/>
    <xf numFmtId="0" fontId="112" fillId="6" borderId="0" applyNumberFormat="0" applyBorder="0" applyAlignment="0" applyProtection="0"/>
    <xf numFmtId="0" fontId="112" fillId="7" borderId="0" applyNumberFormat="0" applyBorder="0" applyAlignment="0" applyProtection="0"/>
    <xf numFmtId="0" fontId="112" fillId="8" borderId="0" applyNumberFormat="0" applyBorder="0" applyAlignment="0" applyProtection="0"/>
    <xf numFmtId="0" fontId="112" fillId="9" borderId="0" applyNumberFormat="0" applyBorder="0" applyAlignment="0" applyProtection="0"/>
    <xf numFmtId="0" fontId="112" fillId="10" borderId="0" applyNumberFormat="0" applyBorder="0" applyAlignment="0" applyProtection="0"/>
    <xf numFmtId="0" fontId="112" fillId="11" borderId="0" applyNumberFormat="0" applyBorder="0" applyAlignment="0" applyProtection="0"/>
    <xf numFmtId="0" fontId="112" fillId="12" borderId="0" applyNumberFormat="0" applyBorder="0" applyAlignment="0" applyProtection="0"/>
    <xf numFmtId="0" fontId="112" fillId="13" borderId="0" applyNumberFormat="0" applyBorder="0" applyAlignment="0" applyProtection="0"/>
    <xf numFmtId="0" fontId="113" fillId="14" borderId="0" applyNumberFormat="0" applyBorder="0" applyAlignment="0" applyProtection="0"/>
    <xf numFmtId="0" fontId="113" fillId="15" borderId="0" applyNumberFormat="0" applyBorder="0" applyAlignment="0" applyProtection="0"/>
    <xf numFmtId="0" fontId="113" fillId="16" borderId="0" applyNumberFormat="0" applyBorder="0" applyAlignment="0" applyProtection="0"/>
    <xf numFmtId="0" fontId="113" fillId="17" borderId="0" applyNumberFormat="0" applyBorder="0" applyAlignment="0" applyProtection="0"/>
    <xf numFmtId="0" fontId="113" fillId="18" borderId="0" applyNumberFormat="0" applyBorder="0" applyAlignment="0" applyProtection="0"/>
    <xf numFmtId="0" fontId="113" fillId="19" borderId="0" applyNumberFormat="0" applyBorder="0" applyAlignment="0" applyProtection="0"/>
    <xf numFmtId="0" fontId="114" fillId="20" borderId="0" applyNumberFormat="0" applyBorder="0" applyAlignment="0" applyProtection="0"/>
    <xf numFmtId="0" fontId="115" fillId="21" borderId="1" applyNumberFormat="0" applyAlignment="0" applyProtection="0"/>
    <xf numFmtId="0" fontId="116" fillId="22" borderId="2" applyNumberFormat="0" applyAlignment="0" applyProtection="0"/>
    <xf numFmtId="0" fontId="117" fillId="0" borderId="3" applyNumberFormat="0" applyFill="0" applyAlignment="0" applyProtection="0"/>
    <xf numFmtId="0" fontId="118" fillId="0" borderId="4" applyNumberFormat="0" applyFill="0" applyAlignment="0" applyProtection="0"/>
    <xf numFmtId="0" fontId="119" fillId="0" borderId="0" applyNumberFormat="0" applyFill="0" applyBorder="0" applyAlignment="0" applyProtection="0"/>
    <xf numFmtId="0" fontId="113" fillId="23" borderId="0" applyNumberFormat="0" applyBorder="0" applyAlignment="0" applyProtection="0"/>
    <xf numFmtId="0" fontId="113" fillId="24" borderId="0" applyNumberFormat="0" applyBorder="0" applyAlignment="0" applyProtection="0"/>
    <xf numFmtId="0" fontId="113" fillId="25" borderId="0" applyNumberFormat="0" applyBorder="0" applyAlignment="0" applyProtection="0"/>
    <xf numFmtId="0" fontId="113" fillId="26" borderId="0" applyNumberFormat="0" applyBorder="0" applyAlignment="0" applyProtection="0"/>
    <xf numFmtId="0" fontId="113" fillId="27" borderId="0" applyNumberFormat="0" applyBorder="0" applyAlignment="0" applyProtection="0"/>
    <xf numFmtId="0" fontId="113" fillId="28" borderId="0" applyNumberFormat="0" applyBorder="0" applyAlignment="0" applyProtection="0"/>
    <xf numFmtId="0" fontId="120" fillId="29" borderId="1" applyNumberFormat="0" applyAlignment="0" applyProtection="0"/>
    <xf numFmtId="0" fontId="0" fillId="0" borderId="0" applyFont="0" applyFill="0" applyBorder="0" applyAlignment="0" applyProtection="0"/>
    <xf numFmtId="0" fontId="121" fillId="0" borderId="0" applyNumberFormat="0" applyFill="0" applyBorder="0" applyAlignment="0" applyProtection="0"/>
    <xf numFmtId="0" fontId="122" fillId="0" borderId="0" applyNumberFormat="0" applyFill="0" applyBorder="0" applyAlignment="0" applyProtection="0"/>
    <xf numFmtId="0" fontId="12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2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125" fillId="21" borderId="6" applyNumberFormat="0" applyAlignment="0" applyProtection="0"/>
    <xf numFmtId="0" fontId="126" fillId="0" borderId="0" applyNumberFormat="0" applyFill="0" applyBorder="0" applyAlignment="0" applyProtection="0"/>
    <xf numFmtId="0" fontId="127" fillId="0" borderId="0" applyNumberFormat="0" applyFill="0" applyBorder="0" applyAlignment="0" applyProtection="0"/>
    <xf numFmtId="0" fontId="128" fillId="0" borderId="0" applyNumberFormat="0" applyFill="0" applyBorder="0" applyAlignment="0" applyProtection="0"/>
    <xf numFmtId="0" fontId="129" fillId="0" borderId="7" applyNumberFormat="0" applyFill="0" applyAlignment="0" applyProtection="0"/>
    <xf numFmtId="0" fontId="119" fillId="0" borderId="8" applyNumberFormat="0" applyFill="0" applyAlignment="0" applyProtection="0"/>
    <xf numFmtId="0" fontId="130" fillId="0" borderId="9" applyNumberFormat="0" applyFill="0" applyAlignment="0" applyProtection="0"/>
  </cellStyleXfs>
  <cellXfs count="768">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0" xfId="0" applyBorder="1" applyAlignment="1">
      <alignment/>
    </xf>
    <xf numFmtId="3" fontId="5" fillId="0" borderId="0" xfId="0" applyNumberFormat="1" applyFont="1" applyAlignment="1" applyProtection="1">
      <alignment horizontal="centerContinuous"/>
      <protection/>
    </xf>
    <xf numFmtId="3" fontId="3" fillId="0" borderId="0" xfId="0" applyNumberFormat="1" applyFont="1" applyAlignment="1" applyProtection="1">
      <alignment/>
      <protection/>
    </xf>
    <xf numFmtId="3" fontId="0" fillId="0" borderId="0" xfId="0" applyNumberFormat="1" applyAlignment="1" applyProtection="1">
      <alignment/>
      <protection/>
    </xf>
    <xf numFmtId="3" fontId="5" fillId="0" borderId="12" xfId="51" applyNumberFormat="1" applyFont="1" applyBorder="1" applyAlignment="1" applyProtection="1">
      <alignment/>
      <protection/>
    </xf>
    <xf numFmtId="3" fontId="5" fillId="0" borderId="12" xfId="51" applyNumberFormat="1" applyFont="1" applyBorder="1" applyAlignment="1" applyProtection="1">
      <alignment horizontal="center"/>
      <protection/>
    </xf>
    <xf numFmtId="3" fontId="5" fillId="0" borderId="13" xfId="51" applyNumberFormat="1" applyFont="1" applyBorder="1" applyAlignment="1" applyProtection="1">
      <alignment/>
      <protection/>
    </xf>
    <xf numFmtId="3" fontId="5" fillId="0" borderId="14" xfId="51" applyNumberFormat="1" applyFont="1" applyBorder="1" applyAlignment="1" applyProtection="1">
      <alignment/>
      <protection/>
    </xf>
    <xf numFmtId="3" fontId="5" fillId="0" borderId="14" xfId="51" applyNumberFormat="1" applyFont="1" applyBorder="1" applyAlignment="1" applyProtection="1">
      <alignment horizontal="center"/>
      <protection/>
    </xf>
    <xf numFmtId="3" fontId="5" fillId="0" borderId="15" xfId="51" applyNumberFormat="1" applyFont="1" applyBorder="1" applyAlignment="1" applyProtection="1">
      <alignment/>
      <protection/>
    </xf>
    <xf numFmtId="3" fontId="5" fillId="0" borderId="16" xfId="51" applyNumberFormat="1" applyFont="1" applyBorder="1" applyAlignment="1" applyProtection="1">
      <alignment/>
      <protection/>
    </xf>
    <xf numFmtId="3" fontId="5" fillId="0" borderId="16" xfId="51" applyNumberFormat="1" applyFont="1" applyBorder="1" applyAlignment="1" applyProtection="1">
      <alignment horizontal="center"/>
      <protection/>
    </xf>
    <xf numFmtId="3" fontId="5" fillId="0" borderId="17" xfId="51" applyNumberFormat="1" applyFont="1" applyBorder="1" applyAlignment="1" applyProtection="1">
      <alignment/>
      <protection/>
    </xf>
    <xf numFmtId="3" fontId="6" fillId="0" borderId="0" xfId="0" applyNumberFormat="1" applyFont="1" applyFill="1" applyBorder="1" applyAlignment="1" applyProtection="1">
      <alignment vertical="center"/>
      <protection/>
    </xf>
    <xf numFmtId="189" fontId="8" fillId="0" borderId="0" xfId="0" applyNumberFormat="1" applyFont="1" applyBorder="1" applyAlignment="1" applyProtection="1">
      <alignment horizontal="left" vertical="center"/>
      <protection/>
    </xf>
    <xf numFmtId="3" fontId="6" fillId="0" borderId="0" xfId="0" applyNumberFormat="1" applyFont="1" applyFill="1" applyAlignment="1" applyProtection="1">
      <alignment vertical="center"/>
      <protection/>
    </xf>
    <xf numFmtId="3" fontId="6" fillId="0" borderId="0" xfId="0" applyNumberFormat="1" applyFont="1" applyAlignment="1" applyProtection="1">
      <alignment vertical="center"/>
      <protection/>
    </xf>
    <xf numFmtId="3" fontId="8" fillId="0" borderId="0" xfId="0" applyNumberFormat="1" applyFont="1" applyFill="1" applyBorder="1" applyAlignment="1" applyProtection="1">
      <alignment horizontal="left"/>
      <protection/>
    </xf>
    <xf numFmtId="0" fontId="2" fillId="0" borderId="18" xfId="0" applyFont="1" applyBorder="1" applyAlignment="1">
      <alignment horizontal="center"/>
    </xf>
    <xf numFmtId="3" fontId="3" fillId="0" borderId="0" xfId="0" applyNumberFormat="1" applyFont="1" applyAlignment="1" applyProtection="1">
      <alignment horizontal="center" vertical="center" wrapText="1"/>
      <protection/>
    </xf>
    <xf numFmtId="3" fontId="3" fillId="0" borderId="0" xfId="0" applyNumberFormat="1" applyFont="1" applyAlignment="1" applyProtection="1">
      <alignment vertical="center" wrapText="1"/>
      <protection/>
    </xf>
    <xf numFmtId="3" fontId="0" fillId="0" borderId="0" xfId="0" applyNumberFormat="1" applyFont="1" applyAlignment="1" applyProtection="1">
      <alignment/>
      <protection/>
    </xf>
    <xf numFmtId="3" fontId="30" fillId="0" borderId="0" xfId="0" applyNumberFormat="1" applyFont="1" applyAlignment="1" applyProtection="1">
      <alignment horizontal="centerContinuous"/>
      <protection/>
    </xf>
    <xf numFmtId="3" fontId="0" fillId="0" borderId="0" xfId="0" applyNumberFormat="1" applyFont="1" applyAlignment="1" applyProtection="1">
      <alignment/>
      <protection/>
    </xf>
    <xf numFmtId="3" fontId="0" fillId="0" borderId="0" xfId="0" applyNumberFormat="1" applyFont="1" applyAlignment="1" applyProtection="1">
      <alignment vertical="center" wrapText="1"/>
      <protection/>
    </xf>
    <xf numFmtId="0" fontId="2" fillId="0" borderId="19" xfId="0" applyFont="1" applyBorder="1" applyAlignment="1">
      <alignment horizontal="center"/>
    </xf>
    <xf numFmtId="0" fontId="2" fillId="0" borderId="20" xfId="0" applyFont="1" applyBorder="1" applyAlignment="1">
      <alignment horizontal="center"/>
    </xf>
    <xf numFmtId="0" fontId="2" fillId="0" borderId="20" xfId="0" applyFont="1" applyBorder="1" applyAlignment="1">
      <alignment/>
    </xf>
    <xf numFmtId="0" fontId="34" fillId="0" borderId="0" xfId="0" applyFont="1" applyAlignment="1">
      <alignment/>
    </xf>
    <xf numFmtId="3" fontId="0" fillId="0" borderId="21" xfId="0" applyNumberFormat="1" applyBorder="1" applyAlignment="1">
      <alignment/>
    </xf>
    <xf numFmtId="3" fontId="0" fillId="0" borderId="22" xfId="0" applyNumberFormat="1" applyBorder="1" applyAlignment="1">
      <alignment/>
    </xf>
    <xf numFmtId="3" fontId="0" fillId="0" borderId="23" xfId="0" applyNumberFormat="1" applyBorder="1" applyAlignment="1">
      <alignment/>
    </xf>
    <xf numFmtId="3" fontId="0" fillId="0" borderId="24" xfId="0" applyNumberFormat="1" applyBorder="1" applyAlignment="1">
      <alignment/>
    </xf>
    <xf numFmtId="3" fontId="0" fillId="0" borderId="25" xfId="0" applyNumberFormat="1" applyBorder="1" applyAlignment="1">
      <alignment/>
    </xf>
    <xf numFmtId="3" fontId="0" fillId="0" borderId="26" xfId="0" applyNumberFormat="1" applyBorder="1" applyAlignment="1">
      <alignment/>
    </xf>
    <xf numFmtId="3" fontId="0" fillId="0" borderId="27" xfId="0" applyNumberFormat="1" applyBorder="1" applyAlignment="1">
      <alignment/>
    </xf>
    <xf numFmtId="3" fontId="0" fillId="0" borderId="28" xfId="0" applyNumberFormat="1" applyBorder="1" applyAlignment="1">
      <alignment/>
    </xf>
    <xf numFmtId="3" fontId="2" fillId="0" borderId="19" xfId="0" applyNumberFormat="1" applyFont="1" applyBorder="1" applyAlignment="1">
      <alignment/>
    </xf>
    <xf numFmtId="3" fontId="2" fillId="0" borderId="18" xfId="0" applyNumberFormat="1" applyFont="1" applyBorder="1" applyAlignment="1">
      <alignment/>
    </xf>
    <xf numFmtId="3" fontId="2" fillId="0" borderId="20" xfId="0" applyNumberFormat="1" applyFont="1" applyBorder="1" applyAlignment="1">
      <alignment horizontal="center"/>
    </xf>
    <xf numFmtId="3" fontId="2" fillId="0" borderId="19" xfId="0" applyNumberFormat="1" applyFont="1" applyBorder="1" applyAlignment="1">
      <alignment horizontal="center"/>
    </xf>
    <xf numFmtId="3" fontId="2" fillId="0" borderId="18" xfId="0" applyNumberFormat="1" applyFont="1" applyBorder="1" applyAlignment="1">
      <alignment horizontal="center"/>
    </xf>
    <xf numFmtId="3" fontId="0" fillId="0" borderId="29" xfId="0" applyNumberFormat="1" applyBorder="1" applyAlignment="1">
      <alignment/>
    </xf>
    <xf numFmtId="3" fontId="0" fillId="0" borderId="30" xfId="0" applyNumberFormat="1" applyBorder="1" applyAlignment="1">
      <alignment/>
    </xf>
    <xf numFmtId="3" fontId="0" fillId="0" borderId="31" xfId="0" applyNumberFormat="1" applyBorder="1" applyAlignment="1">
      <alignment/>
    </xf>
    <xf numFmtId="3" fontId="0" fillId="0" borderId="21" xfId="0" applyNumberFormat="1" applyBorder="1" applyAlignment="1">
      <alignment horizontal="left"/>
    </xf>
    <xf numFmtId="3" fontId="0" fillId="0" borderId="24" xfId="0" applyNumberFormat="1" applyBorder="1" applyAlignment="1">
      <alignment horizontal="left"/>
    </xf>
    <xf numFmtId="3" fontId="0" fillId="0" borderId="32" xfId="0" applyNumberFormat="1" applyBorder="1" applyAlignment="1">
      <alignment horizontal="left"/>
    </xf>
    <xf numFmtId="3" fontId="0" fillId="0" borderId="29" xfId="0" applyNumberFormat="1" applyBorder="1" applyAlignment="1">
      <alignment horizontal="left"/>
    </xf>
    <xf numFmtId="3" fontId="10" fillId="0" borderId="33" xfId="0" applyNumberFormat="1" applyFont="1" applyFill="1" applyBorder="1" applyAlignment="1" applyProtection="1">
      <alignment horizontal="center" vertical="center" wrapText="1"/>
      <protection/>
    </xf>
    <xf numFmtId="0" fontId="14" fillId="0" borderId="0" xfId="0" applyFont="1" applyAlignment="1" applyProtection="1">
      <alignment/>
      <protection/>
    </xf>
    <xf numFmtId="0" fontId="0" fillId="0" borderId="0" xfId="0" applyAlignment="1" applyProtection="1">
      <alignment/>
      <protection/>
    </xf>
    <xf numFmtId="0" fontId="16" fillId="0" borderId="0" xfId="0" applyFont="1" applyAlignment="1" applyProtection="1">
      <alignment horizontal="left"/>
      <protection/>
    </xf>
    <xf numFmtId="0" fontId="2" fillId="0" borderId="34" xfId="0" applyFont="1" applyBorder="1" applyAlignment="1" applyProtection="1">
      <alignment vertical="center"/>
      <protection/>
    </xf>
    <xf numFmtId="0" fontId="0" fillId="0" borderId="0" xfId="0" applyAlignment="1" applyProtection="1">
      <alignment vertical="center"/>
      <protection/>
    </xf>
    <xf numFmtId="0" fontId="2" fillId="0" borderId="32" xfId="0" applyFont="1" applyBorder="1" applyAlignment="1" applyProtection="1">
      <alignment vertical="center"/>
      <protection/>
    </xf>
    <xf numFmtId="0" fontId="2" fillId="0" borderId="20" xfId="0" applyFont="1" applyBorder="1" applyAlignment="1" applyProtection="1">
      <alignment vertical="center"/>
      <protection/>
    </xf>
    <xf numFmtId="0" fontId="2" fillId="0" borderId="19" xfId="0" applyFont="1" applyBorder="1" applyAlignment="1" applyProtection="1">
      <alignment vertical="center"/>
      <protection/>
    </xf>
    <xf numFmtId="0" fontId="0" fillId="0" borderId="0" xfId="0" applyBorder="1" applyAlignment="1" applyProtection="1">
      <alignment vertical="center"/>
      <protection/>
    </xf>
    <xf numFmtId="0" fontId="0" fillId="0" borderId="0" xfId="0" applyBorder="1" applyAlignment="1" applyProtection="1">
      <alignment horizontal="left" vertical="center"/>
      <protection/>
    </xf>
    <xf numFmtId="0" fontId="2" fillId="0" borderId="18" xfId="0" applyFont="1" applyBorder="1" applyAlignment="1" applyProtection="1">
      <alignment horizontal="center" vertical="center"/>
      <protection/>
    </xf>
    <xf numFmtId="0" fontId="0" fillId="0" borderId="0" xfId="0" applyAlignment="1" applyProtection="1">
      <alignment horizontal="left"/>
      <protection/>
    </xf>
    <xf numFmtId="0" fontId="32" fillId="0" borderId="0" xfId="0" applyFont="1" applyAlignment="1" applyProtection="1">
      <alignment/>
      <protection/>
    </xf>
    <xf numFmtId="0" fontId="20" fillId="0" borderId="0" xfId="0" applyFont="1" applyAlignment="1" applyProtection="1">
      <alignment vertical="justify"/>
      <protection/>
    </xf>
    <xf numFmtId="0" fontId="2" fillId="0" borderId="35" xfId="0" applyFont="1" applyBorder="1" applyAlignment="1" applyProtection="1">
      <alignment horizontal="center"/>
      <protection/>
    </xf>
    <xf numFmtId="0" fontId="2" fillId="0" borderId="36" xfId="0" applyFont="1" applyBorder="1" applyAlignment="1" applyProtection="1">
      <alignment horizontal="center"/>
      <protection/>
    </xf>
    <xf numFmtId="0" fontId="2" fillId="0" borderId="37" xfId="0" applyFont="1" applyBorder="1" applyAlignment="1" applyProtection="1">
      <alignment horizontal="left"/>
      <protection/>
    </xf>
    <xf numFmtId="193" fontId="2" fillId="0" borderId="38" xfId="56" applyNumberFormat="1" applyFont="1" applyBorder="1" applyAlignment="1" applyProtection="1">
      <alignment horizontal="right" indent="1"/>
      <protection/>
    </xf>
    <xf numFmtId="193" fontId="2" fillId="0" borderId="26" xfId="56" applyNumberFormat="1" applyFont="1" applyBorder="1" applyAlignment="1" applyProtection="1">
      <alignment horizontal="right" indent="1"/>
      <protection/>
    </xf>
    <xf numFmtId="0" fontId="0" fillId="0" borderId="25" xfId="0" applyBorder="1" applyAlignment="1" applyProtection="1">
      <alignment/>
      <protection/>
    </xf>
    <xf numFmtId="194" fontId="2" fillId="0" borderId="26" xfId="56" applyNumberFormat="1" applyFont="1" applyBorder="1" applyAlignment="1" applyProtection="1">
      <alignment horizontal="right" indent="1"/>
      <protection/>
    </xf>
    <xf numFmtId="191" fontId="0" fillId="0" borderId="0" xfId="0" applyNumberFormat="1" applyAlignment="1" applyProtection="1">
      <alignment horizontal="center"/>
      <protection/>
    </xf>
    <xf numFmtId="9" fontId="0" fillId="0" borderId="0" xfId="0" applyNumberFormat="1" applyAlignment="1" applyProtection="1">
      <alignment/>
      <protection/>
    </xf>
    <xf numFmtId="0" fontId="0" fillId="0" borderId="24" xfId="0" applyBorder="1" applyAlignment="1" applyProtection="1">
      <alignment/>
      <protection/>
    </xf>
    <xf numFmtId="9" fontId="2" fillId="0" borderId="26" xfId="56" applyNumberFormat="1" applyFont="1" applyBorder="1" applyAlignment="1" applyProtection="1">
      <alignment horizontal="right" indent="1"/>
      <protection/>
    </xf>
    <xf numFmtId="0" fontId="0" fillId="0" borderId="0" xfId="0" applyAlignment="1" applyProtection="1">
      <alignment horizontal="center"/>
      <protection/>
    </xf>
    <xf numFmtId="0" fontId="0" fillId="0" borderId="32" xfId="0" applyBorder="1" applyAlignment="1" applyProtection="1">
      <alignment/>
      <protection/>
    </xf>
    <xf numFmtId="0" fontId="0" fillId="0" borderId="27" xfId="0" applyBorder="1" applyAlignment="1" applyProtection="1">
      <alignment/>
      <protection/>
    </xf>
    <xf numFmtId="9" fontId="2" fillId="0" borderId="28" xfId="56" applyNumberFormat="1" applyFont="1" applyBorder="1" applyAlignment="1" applyProtection="1">
      <alignment horizontal="right" indent="1"/>
      <protection/>
    </xf>
    <xf numFmtId="0" fontId="0" fillId="0" borderId="20" xfId="0" applyBorder="1" applyAlignment="1" applyProtection="1">
      <alignment horizontal="center" vertical="center" wrapText="1"/>
      <protection/>
    </xf>
    <xf numFmtId="0" fontId="0" fillId="0" borderId="19" xfId="0" applyBorder="1" applyAlignment="1" applyProtection="1">
      <alignment horizontal="center" vertical="center" wrapText="1"/>
      <protection/>
    </xf>
    <xf numFmtId="0" fontId="0" fillId="0" borderId="18" xfId="0" applyBorder="1" applyAlignment="1" applyProtection="1">
      <alignment horizontal="center" vertical="center" wrapText="1"/>
      <protection/>
    </xf>
    <xf numFmtId="0" fontId="2" fillId="0" borderId="37" xfId="0" applyFont="1" applyBorder="1" applyAlignment="1" applyProtection="1">
      <alignment horizontal="center"/>
      <protection/>
    </xf>
    <xf numFmtId="0" fontId="0" fillId="0" borderId="34" xfId="0" applyBorder="1" applyAlignment="1" applyProtection="1">
      <alignment/>
      <protection/>
    </xf>
    <xf numFmtId="0" fontId="2" fillId="0" borderId="39" xfId="0" applyFont="1" applyBorder="1" applyAlignment="1" applyProtection="1">
      <alignment/>
      <protection/>
    </xf>
    <xf numFmtId="3" fontId="2" fillId="0" borderId="40" xfId="0" applyNumberFormat="1" applyFont="1" applyBorder="1" applyAlignment="1" applyProtection="1">
      <alignment/>
      <protection/>
    </xf>
    <xf numFmtId="3" fontId="35" fillId="33" borderId="26" xfId="0" applyNumberFormat="1" applyFont="1" applyFill="1" applyBorder="1" applyAlignment="1" applyProtection="1">
      <alignment horizontal="right" vertical="center"/>
      <protection locked="0"/>
    </xf>
    <xf numFmtId="193" fontId="8" fillId="33" borderId="41" xfId="56" applyNumberFormat="1" applyFont="1" applyFill="1" applyBorder="1" applyAlignment="1" applyProtection="1">
      <alignment horizontal="right" indent="1"/>
      <protection locked="0"/>
    </xf>
    <xf numFmtId="193" fontId="8" fillId="33" borderId="25" xfId="56" applyNumberFormat="1" applyFont="1" applyFill="1" applyBorder="1" applyAlignment="1" applyProtection="1">
      <alignment horizontal="right" indent="1"/>
      <protection locked="0"/>
    </xf>
    <xf numFmtId="193" fontId="8" fillId="33" borderId="27" xfId="56" applyNumberFormat="1" applyFont="1" applyFill="1" applyBorder="1" applyAlignment="1" applyProtection="1">
      <alignment horizontal="right" indent="1"/>
      <protection locked="0"/>
    </xf>
    <xf numFmtId="3" fontId="8" fillId="33" borderId="42" xfId="0" applyNumberFormat="1" applyFont="1" applyFill="1" applyBorder="1" applyAlignment="1" applyProtection="1">
      <alignment horizontal="left"/>
      <protection locked="0"/>
    </xf>
    <xf numFmtId="0" fontId="0" fillId="33" borderId="23" xfId="0" applyFill="1" applyBorder="1" applyAlignment="1" applyProtection="1">
      <alignment/>
      <protection locked="0"/>
    </xf>
    <xf numFmtId="0" fontId="0" fillId="33" borderId="25" xfId="0" applyFill="1" applyBorder="1" applyAlignment="1" applyProtection="1">
      <alignment/>
      <protection locked="0"/>
    </xf>
    <xf numFmtId="3" fontId="0" fillId="33" borderId="38" xfId="0" applyNumberFormat="1" applyFill="1" applyBorder="1" applyAlignment="1" applyProtection="1">
      <alignment/>
      <protection locked="0"/>
    </xf>
    <xf numFmtId="3" fontId="0" fillId="33" borderId="26" xfId="0" applyNumberFormat="1" applyFill="1" applyBorder="1" applyAlignment="1" applyProtection="1">
      <alignment/>
      <protection locked="0"/>
    </xf>
    <xf numFmtId="3" fontId="0" fillId="33" borderId="28" xfId="0" applyNumberFormat="1" applyFill="1" applyBorder="1" applyAlignment="1" applyProtection="1">
      <alignment/>
      <protection locked="0"/>
    </xf>
    <xf numFmtId="194" fontId="8" fillId="33" borderId="25" xfId="56" applyNumberFormat="1" applyFont="1" applyFill="1" applyBorder="1" applyAlignment="1" applyProtection="1">
      <alignment horizontal="right" indent="1"/>
      <protection locked="0"/>
    </xf>
    <xf numFmtId="193" fontId="8" fillId="0" borderId="25" xfId="56" applyNumberFormat="1" applyFont="1" applyFill="1" applyBorder="1" applyAlignment="1" applyProtection="1">
      <alignment horizontal="right" indent="1"/>
      <protection/>
    </xf>
    <xf numFmtId="193" fontId="8" fillId="0" borderId="27" xfId="56" applyNumberFormat="1" applyFont="1" applyFill="1" applyBorder="1" applyAlignment="1" applyProtection="1">
      <alignment horizontal="right" indent="1"/>
      <protection/>
    </xf>
    <xf numFmtId="3" fontId="38" fillId="33" borderId="18" xfId="0" applyNumberFormat="1" applyFont="1" applyFill="1" applyBorder="1" applyAlignment="1" applyProtection="1">
      <alignment horizontal="center" vertical="center"/>
      <protection locked="0"/>
    </xf>
    <xf numFmtId="193" fontId="35" fillId="33" borderId="26" xfId="56" applyNumberFormat="1" applyFont="1" applyFill="1" applyBorder="1" applyAlignment="1" applyProtection="1">
      <alignment horizontal="right" vertical="center"/>
      <protection locked="0"/>
    </xf>
    <xf numFmtId="0" fontId="2" fillId="34" borderId="43" xfId="0" applyFont="1" applyFill="1" applyBorder="1" applyAlignment="1" applyProtection="1">
      <alignment vertical="center"/>
      <protection/>
    </xf>
    <xf numFmtId="0" fontId="2" fillId="34" borderId="44" xfId="0" applyFont="1" applyFill="1" applyBorder="1" applyAlignment="1" applyProtection="1">
      <alignment vertical="center"/>
      <protection/>
    </xf>
    <xf numFmtId="0" fontId="2" fillId="34" borderId="45" xfId="0" applyFont="1" applyFill="1" applyBorder="1" applyAlignment="1" applyProtection="1">
      <alignment vertical="center"/>
      <protection/>
    </xf>
    <xf numFmtId="3" fontId="8" fillId="34" borderId="46" xfId="0" applyNumberFormat="1" applyFont="1" applyFill="1" applyBorder="1" applyAlignment="1" applyProtection="1">
      <alignment/>
      <protection/>
    </xf>
    <xf numFmtId="3" fontId="8" fillId="34" borderId="47" xfId="0" applyNumberFormat="1" applyFont="1" applyFill="1" applyBorder="1" applyAlignment="1" applyProtection="1">
      <alignment/>
      <protection/>
    </xf>
    <xf numFmtId="3" fontId="8" fillId="34" borderId="15" xfId="0" applyNumberFormat="1" applyFont="1" applyFill="1" applyBorder="1" applyAlignment="1" applyProtection="1">
      <alignment/>
      <protection/>
    </xf>
    <xf numFmtId="0" fontId="36" fillId="0" borderId="46" xfId="0" applyFont="1" applyBorder="1" applyAlignment="1" applyProtection="1">
      <alignment vertical="center"/>
      <protection/>
    </xf>
    <xf numFmtId="0" fontId="36" fillId="0" borderId="47" xfId="0" applyFont="1" applyBorder="1" applyAlignment="1" applyProtection="1">
      <alignment vertical="center"/>
      <protection/>
    </xf>
    <xf numFmtId="0" fontId="36" fillId="0" borderId="15" xfId="0" applyFont="1" applyBorder="1" applyAlignment="1" applyProtection="1">
      <alignment vertical="center"/>
      <protection/>
    </xf>
    <xf numFmtId="0" fontId="14" fillId="0" borderId="0" xfId="0" applyFont="1" applyBorder="1" applyAlignment="1" applyProtection="1">
      <alignment vertical="center"/>
      <protection/>
    </xf>
    <xf numFmtId="0" fontId="41" fillId="35" borderId="48" xfId="0" applyFont="1" applyFill="1" applyBorder="1" applyAlignment="1" applyProtection="1">
      <alignment/>
      <protection/>
    </xf>
    <xf numFmtId="0" fontId="41" fillId="35" borderId="49" xfId="0" applyFont="1" applyFill="1" applyBorder="1" applyAlignment="1" applyProtection="1">
      <alignment/>
      <protection/>
    </xf>
    <xf numFmtId="0" fontId="0" fillId="35" borderId="11" xfId="0" applyFill="1" applyBorder="1" applyAlignment="1" applyProtection="1">
      <alignment/>
      <protection/>
    </xf>
    <xf numFmtId="0" fontId="0" fillId="35" borderId="10" xfId="0" applyFill="1" applyBorder="1" applyAlignment="1" applyProtection="1">
      <alignment/>
      <protection/>
    </xf>
    <xf numFmtId="0" fontId="0" fillId="35" borderId="11" xfId="0" applyFill="1" applyBorder="1" applyAlignment="1" applyProtection="1">
      <alignment horizontal="right"/>
      <protection/>
    </xf>
    <xf numFmtId="0" fontId="3" fillId="35" borderId="11" xfId="0" applyFont="1" applyFill="1" applyBorder="1" applyAlignment="1" applyProtection="1">
      <alignment/>
      <protection/>
    </xf>
    <xf numFmtId="0" fontId="3" fillId="35" borderId="10" xfId="0" applyFont="1" applyFill="1" applyBorder="1" applyAlignment="1" applyProtection="1">
      <alignment/>
      <protection/>
    </xf>
    <xf numFmtId="0" fontId="0" fillId="35" borderId="50" xfId="0" applyFill="1" applyBorder="1" applyAlignment="1" applyProtection="1">
      <alignment/>
      <protection/>
    </xf>
    <xf numFmtId="0" fontId="0" fillId="35" borderId="51" xfId="0" applyFill="1" applyBorder="1" applyAlignment="1" applyProtection="1">
      <alignment/>
      <protection/>
    </xf>
    <xf numFmtId="0" fontId="39" fillId="0" borderId="0" xfId="0" applyFont="1" applyAlignment="1" applyProtection="1">
      <alignment/>
      <protection/>
    </xf>
    <xf numFmtId="0" fontId="3" fillId="0" borderId="0" xfId="0" applyFont="1" applyAlignment="1" applyProtection="1">
      <alignment/>
      <protection/>
    </xf>
    <xf numFmtId="10" fontId="0" fillId="0" borderId="0" xfId="0" applyNumberFormat="1" applyAlignment="1" applyProtection="1">
      <alignment/>
      <protection/>
    </xf>
    <xf numFmtId="0" fontId="0" fillId="0" borderId="48" xfId="0" applyBorder="1" applyAlignment="1" applyProtection="1">
      <alignment/>
      <protection/>
    </xf>
    <xf numFmtId="0" fontId="3" fillId="0" borderId="52" xfId="0" applyFont="1" applyBorder="1" applyAlignment="1" applyProtection="1">
      <alignment/>
      <protection/>
    </xf>
    <xf numFmtId="0" fontId="0" fillId="0" borderId="52" xfId="0" applyBorder="1" applyAlignment="1" applyProtection="1">
      <alignment/>
      <protection/>
    </xf>
    <xf numFmtId="10" fontId="0" fillId="0" borderId="52" xfId="0" applyNumberFormat="1" applyBorder="1" applyAlignment="1" applyProtection="1">
      <alignment/>
      <protection/>
    </xf>
    <xf numFmtId="0" fontId="0" fillId="0" borderId="49" xfId="0" applyBorder="1" applyAlignment="1" applyProtection="1">
      <alignment/>
      <protection/>
    </xf>
    <xf numFmtId="0" fontId="0" fillId="0" borderId="0" xfId="0" applyBorder="1" applyAlignment="1" applyProtection="1">
      <alignment/>
      <protection/>
    </xf>
    <xf numFmtId="0" fontId="0" fillId="0" borderId="10" xfId="0" applyBorder="1" applyAlignment="1" applyProtection="1">
      <alignment/>
      <protection/>
    </xf>
    <xf numFmtId="0" fontId="0" fillId="0" borderId="35" xfId="0" applyBorder="1" applyAlignment="1" applyProtection="1">
      <alignment horizontal="center"/>
      <protection/>
    </xf>
    <xf numFmtId="0" fontId="0" fillId="0" borderId="36" xfId="0" applyFont="1" applyBorder="1" applyAlignment="1" applyProtection="1">
      <alignment horizontal="center"/>
      <protection/>
    </xf>
    <xf numFmtId="0" fontId="0" fillId="0" borderId="44" xfId="0" applyBorder="1" applyAlignment="1" applyProtection="1">
      <alignment horizontal="centerContinuous"/>
      <protection/>
    </xf>
    <xf numFmtId="0" fontId="6" fillId="0" borderId="44" xfId="0" applyFont="1" applyBorder="1" applyAlignment="1" applyProtection="1">
      <alignment horizontal="centerContinuous"/>
      <protection/>
    </xf>
    <xf numFmtId="0" fontId="0" fillId="0" borderId="53" xfId="0" applyBorder="1" applyAlignment="1" applyProtection="1">
      <alignment horizontal="centerContinuous"/>
      <protection/>
    </xf>
    <xf numFmtId="190" fontId="40" fillId="0" borderId="44" xfId="0" applyNumberFormat="1" applyFont="1" applyBorder="1" applyAlignment="1" applyProtection="1">
      <alignment horizontal="centerContinuous"/>
      <protection/>
    </xf>
    <xf numFmtId="190" fontId="0" fillId="0" borderId="44" xfId="0" applyNumberFormat="1" applyBorder="1" applyAlignment="1" applyProtection="1">
      <alignment horizontal="centerContinuous"/>
      <protection/>
    </xf>
    <xf numFmtId="10" fontId="0" fillId="0" borderId="44" xfId="0" applyNumberFormat="1" applyBorder="1" applyAlignment="1" applyProtection="1">
      <alignment horizontal="centerContinuous"/>
      <protection/>
    </xf>
    <xf numFmtId="0" fontId="0" fillId="0" borderId="45" xfId="0" applyBorder="1" applyAlignment="1" applyProtection="1">
      <alignment horizontal="centerContinuous"/>
      <protection/>
    </xf>
    <xf numFmtId="0" fontId="46" fillId="0" borderId="54" xfId="0" applyFont="1" applyBorder="1" applyAlignment="1" applyProtection="1">
      <alignment horizontal="center" vertical="top" wrapText="1"/>
      <protection/>
    </xf>
    <xf numFmtId="0" fontId="0" fillId="0" borderId="55" xfId="0" applyBorder="1" applyAlignment="1" applyProtection="1">
      <alignment horizontal="center" vertical="center" textRotation="90" wrapText="1"/>
      <protection/>
    </xf>
    <xf numFmtId="0" fontId="0" fillId="0" borderId="55" xfId="0" applyBorder="1" applyAlignment="1" applyProtection="1">
      <alignment horizontal="center" vertical="center" wrapText="1"/>
      <protection/>
    </xf>
    <xf numFmtId="10" fontId="0" fillId="0" borderId="55" xfId="0" applyNumberFormat="1" applyBorder="1" applyAlignment="1" applyProtection="1">
      <alignment horizontal="center" vertical="center" wrapText="1"/>
      <protection/>
    </xf>
    <xf numFmtId="0" fontId="0" fillId="0" borderId="10" xfId="0" applyBorder="1" applyAlignment="1" applyProtection="1">
      <alignment horizontal="center" vertical="center" wrapText="1"/>
      <protection/>
    </xf>
    <xf numFmtId="0" fontId="0" fillId="0" borderId="20" xfId="0" applyBorder="1" applyAlignment="1" applyProtection="1" quotePrefix="1">
      <alignment horizontal="center"/>
      <protection/>
    </xf>
    <xf numFmtId="0" fontId="0" fillId="0" borderId="56" xfId="0" applyBorder="1" applyAlignment="1" applyProtection="1" quotePrefix="1">
      <alignment horizontal="center"/>
      <protection/>
    </xf>
    <xf numFmtId="10" fontId="0" fillId="0" borderId="56" xfId="0" applyNumberFormat="1" applyBorder="1" applyAlignment="1" applyProtection="1" quotePrefix="1">
      <alignment horizontal="center"/>
      <protection/>
    </xf>
    <xf numFmtId="0" fontId="0" fillId="0" borderId="57" xfId="0" applyBorder="1" applyAlignment="1" applyProtection="1" quotePrefix="1">
      <alignment horizontal="center"/>
      <protection/>
    </xf>
    <xf numFmtId="0" fontId="17" fillId="0" borderId="58" xfId="0" applyFont="1" applyBorder="1" applyAlignment="1" applyProtection="1">
      <alignment/>
      <protection/>
    </xf>
    <xf numFmtId="0" fontId="36" fillId="0" borderId="55" xfId="0" applyFont="1" applyBorder="1" applyAlignment="1" applyProtection="1">
      <alignment/>
      <protection/>
    </xf>
    <xf numFmtId="3" fontId="4" fillId="0" borderId="55" xfId="50" applyNumberFormat="1" applyFont="1" applyBorder="1" applyAlignment="1" applyProtection="1">
      <alignment/>
      <protection/>
    </xf>
    <xf numFmtId="3" fontId="4" fillId="0" borderId="55" xfId="50" applyNumberFormat="1" applyFont="1" applyBorder="1" applyAlignment="1" applyProtection="1">
      <alignment horizontal="right"/>
      <protection/>
    </xf>
    <xf numFmtId="3" fontId="0" fillId="0" borderId="55" xfId="50" applyNumberFormat="1" applyFont="1" applyBorder="1" applyAlignment="1" applyProtection="1">
      <alignment/>
      <protection/>
    </xf>
    <xf numFmtId="10" fontId="0" fillId="0" borderId="55" xfId="56" applyNumberFormat="1" applyFont="1" applyBorder="1" applyAlignment="1" applyProtection="1">
      <alignment/>
      <protection/>
    </xf>
    <xf numFmtId="3" fontId="4" fillId="0" borderId="10" xfId="50" applyNumberFormat="1" applyFont="1" applyBorder="1" applyAlignment="1" applyProtection="1">
      <alignment/>
      <protection/>
    </xf>
    <xf numFmtId="0" fontId="36" fillId="0" borderId="0" xfId="0" applyFont="1" applyBorder="1" applyAlignment="1" applyProtection="1">
      <alignment/>
      <protection/>
    </xf>
    <xf numFmtId="3" fontId="4" fillId="0" borderId="54" xfId="50" applyNumberFormat="1" applyFont="1" applyBorder="1" applyAlignment="1" applyProtection="1">
      <alignment/>
      <protection/>
    </xf>
    <xf numFmtId="3" fontId="42" fillId="0" borderId="55" xfId="50" applyNumberFormat="1" applyFont="1" applyBorder="1" applyAlignment="1" applyProtection="1">
      <alignment/>
      <protection/>
    </xf>
    <xf numFmtId="3" fontId="42" fillId="0" borderId="10" xfId="50" applyNumberFormat="1" applyFont="1" applyBorder="1" applyAlignment="1" applyProtection="1">
      <alignment/>
      <protection/>
    </xf>
    <xf numFmtId="0" fontId="43" fillId="0" borderId="20" xfId="0" applyFont="1" applyBorder="1" applyAlignment="1" applyProtection="1">
      <alignment/>
      <protection/>
    </xf>
    <xf numFmtId="0" fontId="12" fillId="0" borderId="56" xfId="0" applyFont="1" applyBorder="1" applyAlignment="1" applyProtection="1">
      <alignment/>
      <protection/>
    </xf>
    <xf numFmtId="3" fontId="21" fillId="0" borderId="56" xfId="50" applyNumberFormat="1" applyFont="1" applyBorder="1" applyAlignment="1" applyProtection="1">
      <alignment/>
      <protection/>
    </xf>
    <xf numFmtId="3" fontId="21" fillId="0" borderId="57" xfId="50" applyNumberFormat="1" applyFont="1" applyBorder="1" applyAlignment="1" applyProtection="1">
      <alignment/>
      <protection/>
    </xf>
    <xf numFmtId="0" fontId="9" fillId="0" borderId="0" xfId="0" applyFont="1" applyAlignment="1" applyProtection="1">
      <alignment/>
      <protection/>
    </xf>
    <xf numFmtId="0" fontId="0" fillId="34" borderId="59" xfId="0" applyFill="1" applyBorder="1" applyAlignment="1" applyProtection="1">
      <alignment/>
      <protection/>
    </xf>
    <xf numFmtId="0" fontId="0" fillId="34" borderId="60" xfId="0" applyFill="1" applyBorder="1" applyAlignment="1" applyProtection="1">
      <alignment/>
      <protection/>
    </xf>
    <xf numFmtId="0" fontId="0" fillId="34" borderId="57" xfId="0" applyFill="1" applyBorder="1" applyAlignment="1" applyProtection="1">
      <alignment/>
      <protection/>
    </xf>
    <xf numFmtId="0" fontId="9" fillId="0" borderId="58" xfId="0" applyFont="1" applyBorder="1" applyAlignment="1" applyProtection="1">
      <alignment/>
      <protection/>
    </xf>
    <xf numFmtId="10" fontId="0" fillId="0" borderId="0" xfId="56" applyNumberFormat="1" applyFont="1" applyAlignment="1" applyProtection="1">
      <alignment/>
      <protection/>
    </xf>
    <xf numFmtId="171" fontId="0" fillId="0" borderId="0" xfId="50" applyFont="1" applyAlignment="1" applyProtection="1">
      <alignment/>
      <protection/>
    </xf>
    <xf numFmtId="0" fontId="0" fillId="0" borderId="58" xfId="0" applyBorder="1" applyAlignment="1" applyProtection="1">
      <alignment horizontal="center" vertical="top" wrapText="1"/>
      <protection locked="0"/>
    </xf>
    <xf numFmtId="0" fontId="42" fillId="33" borderId="61" xfId="0" applyFont="1" applyFill="1" applyBorder="1" applyAlignment="1" applyProtection="1">
      <alignment/>
      <protection locked="0"/>
    </xf>
    <xf numFmtId="3" fontId="42" fillId="33" borderId="55" xfId="50" applyNumberFormat="1" applyFont="1" applyFill="1" applyBorder="1" applyAlignment="1" applyProtection="1">
      <alignment/>
      <protection locked="0"/>
    </xf>
    <xf numFmtId="0" fontId="42" fillId="33" borderId="55" xfId="0" applyFont="1" applyFill="1" applyBorder="1" applyAlignment="1" applyProtection="1">
      <alignment/>
      <protection locked="0"/>
    </xf>
    <xf numFmtId="10" fontId="42" fillId="0" borderId="55" xfId="56" applyNumberFormat="1" applyFont="1" applyBorder="1" applyAlignment="1" applyProtection="1">
      <alignment/>
      <protection locked="0"/>
    </xf>
    <xf numFmtId="3" fontId="0" fillId="35" borderId="10" xfId="0" applyNumberFormat="1" applyFill="1" applyBorder="1" applyAlignment="1" applyProtection="1">
      <alignment/>
      <protection/>
    </xf>
    <xf numFmtId="3" fontId="2" fillId="0" borderId="0" xfId="0" applyNumberFormat="1" applyFont="1" applyBorder="1" applyAlignment="1" applyProtection="1">
      <alignment horizontal="centerContinuous"/>
      <protection/>
    </xf>
    <xf numFmtId="0" fontId="2" fillId="0" borderId="0" xfId="0" applyFont="1" applyBorder="1" applyAlignment="1" applyProtection="1">
      <alignment horizontal="centerContinuous"/>
      <protection/>
    </xf>
    <xf numFmtId="3" fontId="6" fillId="0" borderId="56" xfId="51" applyNumberFormat="1" applyFont="1" applyBorder="1" applyAlignment="1" applyProtection="1">
      <alignment/>
      <protection/>
    </xf>
    <xf numFmtId="3" fontId="6" fillId="36" borderId="56" xfId="51" applyNumberFormat="1" applyFont="1" applyFill="1" applyBorder="1" applyAlignment="1" applyProtection="1">
      <alignment/>
      <protection/>
    </xf>
    <xf numFmtId="3" fontId="6" fillId="0" borderId="57" xfId="51" applyNumberFormat="1" applyFont="1" applyBorder="1" applyAlignment="1" applyProtection="1">
      <alignment/>
      <protection/>
    </xf>
    <xf numFmtId="0" fontId="6" fillId="0" borderId="20" xfId="0" applyFont="1" applyBorder="1" applyAlignment="1" applyProtection="1">
      <alignment horizontal="center"/>
      <protection/>
    </xf>
    <xf numFmtId="0" fontId="7" fillId="33" borderId="21" xfId="0" applyFont="1" applyFill="1" applyBorder="1" applyAlignment="1" applyProtection="1">
      <alignment/>
      <protection locked="0"/>
    </xf>
    <xf numFmtId="3" fontId="7" fillId="33" borderId="12" xfId="51" applyNumberFormat="1" applyFont="1" applyFill="1" applyBorder="1" applyAlignment="1" applyProtection="1">
      <alignment/>
      <protection locked="0"/>
    </xf>
    <xf numFmtId="0" fontId="7" fillId="33" borderId="24" xfId="0" applyFont="1" applyFill="1" applyBorder="1" applyAlignment="1" applyProtection="1">
      <alignment horizontal="left"/>
      <protection locked="0"/>
    </xf>
    <xf numFmtId="0" fontId="7" fillId="33" borderId="24" xfId="0" applyFont="1" applyFill="1" applyBorder="1" applyAlignment="1" applyProtection="1">
      <alignment/>
      <protection locked="0"/>
    </xf>
    <xf numFmtId="0" fontId="7" fillId="33" borderId="32" xfId="0" applyFont="1" applyFill="1" applyBorder="1" applyAlignment="1" applyProtection="1">
      <alignment/>
      <protection locked="0"/>
    </xf>
    <xf numFmtId="0" fontId="0" fillId="0" borderId="0" xfId="0" applyFont="1" applyAlignment="1" applyProtection="1">
      <alignment/>
      <protection/>
    </xf>
    <xf numFmtId="0" fontId="48" fillId="0" borderId="48" xfId="0" applyFont="1" applyBorder="1" applyAlignment="1" applyProtection="1">
      <alignment horizontal="centerContinuous"/>
      <protection/>
    </xf>
    <xf numFmtId="0" fontId="2" fillId="0" borderId="52" xfId="0" applyFont="1" applyBorder="1" applyAlignment="1" applyProtection="1">
      <alignment horizontal="centerContinuous"/>
      <protection/>
    </xf>
    <xf numFmtId="3" fontId="0" fillId="0" borderId="52" xfId="0" applyNumberFormat="1" applyFont="1" applyBorder="1" applyAlignment="1" applyProtection="1">
      <alignment horizontal="centerContinuous"/>
      <protection/>
    </xf>
    <xf numFmtId="3" fontId="0" fillId="0" borderId="49" xfId="0" applyNumberFormat="1" applyFont="1" applyBorder="1" applyAlignment="1" applyProtection="1">
      <alignment horizontal="centerContinuous"/>
      <protection/>
    </xf>
    <xf numFmtId="3" fontId="0" fillId="0" borderId="0" xfId="0" applyNumberFormat="1" applyFont="1" applyBorder="1" applyAlignment="1" applyProtection="1">
      <alignment horizontal="centerContinuous"/>
      <protection/>
    </xf>
    <xf numFmtId="3" fontId="0" fillId="0" borderId="10" xfId="0" applyNumberFormat="1" applyFont="1" applyBorder="1" applyAlignment="1" applyProtection="1">
      <alignment horizontal="centerContinuous"/>
      <protection/>
    </xf>
    <xf numFmtId="0" fontId="0" fillId="0" borderId="11" xfId="0" applyFont="1" applyBorder="1" applyAlignment="1" applyProtection="1">
      <alignment/>
      <protection/>
    </xf>
    <xf numFmtId="0" fontId="0" fillId="0" borderId="0" xfId="0" applyFont="1" applyBorder="1" applyAlignment="1" applyProtection="1">
      <alignment/>
      <protection/>
    </xf>
    <xf numFmtId="3" fontId="0" fillId="0" borderId="0" xfId="0" applyNumberFormat="1" applyFont="1" applyBorder="1" applyAlignment="1" applyProtection="1">
      <alignment/>
      <protection/>
    </xf>
    <xf numFmtId="3" fontId="0" fillId="0" borderId="10" xfId="0" applyNumberFormat="1" applyFont="1" applyBorder="1" applyAlignment="1" applyProtection="1">
      <alignment/>
      <protection/>
    </xf>
    <xf numFmtId="0" fontId="42" fillId="0" borderId="20" xfId="0" applyFont="1" applyBorder="1" applyAlignment="1" applyProtection="1">
      <alignment horizontal="center" vertical="center" wrapText="1"/>
      <protection/>
    </xf>
    <xf numFmtId="0" fontId="42" fillId="0" borderId="19" xfId="0" applyFont="1" applyBorder="1" applyAlignment="1" applyProtection="1">
      <alignment horizontal="center" vertical="center" wrapText="1"/>
      <protection/>
    </xf>
    <xf numFmtId="3" fontId="42" fillId="0" borderId="19" xfId="0" applyNumberFormat="1" applyFont="1" applyBorder="1" applyAlignment="1" applyProtection="1">
      <alignment horizontal="center" vertical="center" wrapText="1"/>
      <protection/>
    </xf>
    <xf numFmtId="3" fontId="42" fillId="0" borderId="18" xfId="0" applyNumberFormat="1" applyFont="1" applyBorder="1" applyAlignment="1" applyProtection="1">
      <alignment horizontal="center" vertical="center" wrapText="1"/>
      <protection/>
    </xf>
    <xf numFmtId="3" fontId="0" fillId="0" borderId="0" xfId="56" applyNumberFormat="1" applyFont="1" applyAlignment="1" applyProtection="1">
      <alignment/>
      <protection/>
    </xf>
    <xf numFmtId="3" fontId="7" fillId="33" borderId="12" xfId="0" applyNumberFormat="1" applyFont="1" applyFill="1" applyBorder="1" applyAlignment="1" applyProtection="1">
      <alignment horizontal="center"/>
      <protection locked="0"/>
    </xf>
    <xf numFmtId="3" fontId="7" fillId="33" borderId="14" xfId="0" applyNumberFormat="1" applyFont="1" applyFill="1" applyBorder="1" applyAlignment="1" applyProtection="1">
      <alignment horizontal="center"/>
      <protection locked="0"/>
    </xf>
    <xf numFmtId="3" fontId="7" fillId="33" borderId="16" xfId="0" applyNumberFormat="1" applyFont="1" applyFill="1" applyBorder="1" applyAlignment="1" applyProtection="1">
      <alignment horizontal="center"/>
      <protection locked="0"/>
    </xf>
    <xf numFmtId="0" fontId="0" fillId="0" borderId="34" xfId="0" applyFill="1" applyBorder="1" applyAlignment="1" applyProtection="1">
      <alignment/>
      <protection/>
    </xf>
    <xf numFmtId="0" fontId="0" fillId="0" borderId="41" xfId="0" applyFill="1" applyBorder="1" applyAlignment="1" applyProtection="1">
      <alignment/>
      <protection/>
    </xf>
    <xf numFmtId="0" fontId="0" fillId="0" borderId="38" xfId="0" applyFill="1" applyBorder="1" applyAlignment="1" applyProtection="1">
      <alignment/>
      <protection/>
    </xf>
    <xf numFmtId="0" fontId="0" fillId="0" borderId="24" xfId="0" applyFill="1" applyBorder="1" applyAlignment="1" applyProtection="1">
      <alignment/>
      <protection/>
    </xf>
    <xf numFmtId="0" fontId="0" fillId="0" borderId="25" xfId="0" applyFill="1" applyBorder="1" applyAlignment="1" applyProtection="1">
      <alignment/>
      <protection/>
    </xf>
    <xf numFmtId="0" fontId="0" fillId="0" borderId="26" xfId="0" applyFill="1" applyBorder="1" applyAlignment="1" applyProtection="1">
      <alignment/>
      <protection/>
    </xf>
    <xf numFmtId="3" fontId="3" fillId="33" borderId="24" xfId="0" applyNumberFormat="1" applyFont="1" applyFill="1" applyBorder="1" applyAlignment="1" applyProtection="1">
      <alignment/>
      <protection locked="0"/>
    </xf>
    <xf numFmtId="3" fontId="3" fillId="33" borderId="25" xfId="0" applyNumberFormat="1" applyFont="1" applyFill="1" applyBorder="1" applyAlignment="1" applyProtection="1">
      <alignment/>
      <protection locked="0"/>
    </xf>
    <xf numFmtId="3" fontId="21" fillId="34" borderId="19" xfId="0" applyNumberFormat="1" applyFont="1" applyFill="1" applyBorder="1" applyAlignment="1" applyProtection="1">
      <alignment horizontal="center" vertical="center"/>
      <protection/>
    </xf>
    <xf numFmtId="3" fontId="25" fillId="34" borderId="25" xfId="0" applyNumberFormat="1" applyFont="1" applyFill="1" applyBorder="1" applyAlignment="1" applyProtection="1">
      <alignment horizontal="left" vertical="center"/>
      <protection/>
    </xf>
    <xf numFmtId="189" fontId="25" fillId="34" borderId="0" xfId="0" applyNumberFormat="1" applyFont="1" applyFill="1" applyBorder="1" applyAlignment="1" applyProtection="1" quotePrefix="1">
      <alignment horizontal="left" vertical="center"/>
      <protection/>
    </xf>
    <xf numFmtId="3" fontId="24" fillId="0" borderId="0" xfId="0" applyNumberFormat="1" applyFont="1" applyBorder="1" applyAlignment="1" applyProtection="1">
      <alignment vertical="center"/>
      <protection/>
    </xf>
    <xf numFmtId="3" fontId="8" fillId="0" borderId="0" xfId="0" applyNumberFormat="1" applyFont="1" applyAlignment="1" applyProtection="1">
      <alignment vertical="center"/>
      <protection/>
    </xf>
    <xf numFmtId="3" fontId="8" fillId="0" borderId="0" xfId="0" applyNumberFormat="1" applyFont="1" applyBorder="1" applyAlignment="1" applyProtection="1">
      <alignment vertical="center"/>
      <protection/>
    </xf>
    <xf numFmtId="0" fontId="0" fillId="0" borderId="62" xfId="0" applyBorder="1" applyAlignment="1" applyProtection="1">
      <alignment vertical="center"/>
      <protection/>
    </xf>
    <xf numFmtId="3" fontId="50" fillId="34" borderId="25" xfId="0" applyNumberFormat="1" applyFont="1" applyFill="1" applyBorder="1" applyAlignment="1" applyProtection="1">
      <alignment vertical="center"/>
      <protection/>
    </xf>
    <xf numFmtId="3" fontId="8" fillId="0" borderId="0" xfId="0" applyNumberFormat="1" applyFont="1" applyAlignment="1" applyProtection="1">
      <alignment horizontal="center" vertical="center"/>
      <protection/>
    </xf>
    <xf numFmtId="3" fontId="18" fillId="0" borderId="0" xfId="0" applyNumberFormat="1" applyFont="1" applyAlignment="1" applyProtection="1">
      <alignment vertical="center"/>
      <protection/>
    </xf>
    <xf numFmtId="3" fontId="8" fillId="34" borderId="0" xfId="0" applyNumberFormat="1" applyFont="1" applyFill="1" applyBorder="1" applyAlignment="1" applyProtection="1">
      <alignment vertical="center"/>
      <protection/>
    </xf>
    <xf numFmtId="3" fontId="8" fillId="0" borderId="0" xfId="0" applyNumberFormat="1" applyFont="1" applyFill="1" applyAlignment="1" applyProtection="1">
      <alignment vertical="center"/>
      <protection/>
    </xf>
    <xf numFmtId="3" fontId="8" fillId="0" borderId="0" xfId="0" applyNumberFormat="1" applyFont="1" applyFill="1" applyBorder="1" applyAlignment="1" applyProtection="1">
      <alignment vertical="center"/>
      <protection/>
    </xf>
    <xf numFmtId="3" fontId="28" fillId="0" borderId="0" xfId="0" applyNumberFormat="1" applyFont="1" applyFill="1" applyBorder="1" applyAlignment="1" applyProtection="1">
      <alignment vertical="center"/>
      <protection/>
    </xf>
    <xf numFmtId="3" fontId="28" fillId="0" borderId="0" xfId="0" applyNumberFormat="1" applyFont="1" applyFill="1" applyAlignment="1" applyProtection="1">
      <alignment vertical="center"/>
      <protection/>
    </xf>
    <xf numFmtId="3" fontId="28" fillId="0" borderId="0" xfId="0" applyNumberFormat="1" applyFont="1" applyAlignment="1" applyProtection="1">
      <alignment vertical="center"/>
      <protection/>
    </xf>
    <xf numFmtId="3" fontId="5" fillId="0" borderId="0" xfId="0" applyNumberFormat="1" applyFont="1" applyFill="1" applyBorder="1" applyAlignment="1" applyProtection="1">
      <alignment vertical="center"/>
      <protection/>
    </xf>
    <xf numFmtId="3" fontId="5" fillId="0" borderId="0" xfId="0" applyNumberFormat="1" applyFont="1" applyFill="1" applyAlignment="1" applyProtection="1">
      <alignment vertical="center"/>
      <protection/>
    </xf>
    <xf numFmtId="3" fontId="5" fillId="0" borderId="0" xfId="0" applyNumberFormat="1" applyFont="1" applyAlignment="1" applyProtection="1">
      <alignment vertical="center"/>
      <protection/>
    </xf>
    <xf numFmtId="3" fontId="3" fillId="0" borderId="0" xfId="0" applyNumberFormat="1" applyFont="1" applyFill="1" applyAlignment="1" applyProtection="1">
      <alignment vertical="center"/>
      <protection/>
    </xf>
    <xf numFmtId="3" fontId="3" fillId="0" borderId="0" xfId="0" applyNumberFormat="1" applyFont="1" applyAlignment="1" applyProtection="1">
      <alignment vertical="center"/>
      <protection/>
    </xf>
    <xf numFmtId="3" fontId="10" fillId="0" borderId="0" xfId="0" applyNumberFormat="1" applyFont="1" applyAlignment="1" applyProtection="1">
      <alignment vertical="center"/>
      <protection/>
    </xf>
    <xf numFmtId="3" fontId="29" fillId="34" borderId="0" xfId="0" applyNumberFormat="1" applyFont="1" applyFill="1" applyBorder="1" applyAlignment="1" applyProtection="1">
      <alignment vertical="center"/>
      <protection/>
    </xf>
    <xf numFmtId="3" fontId="19" fillId="0" borderId="0" xfId="0" applyNumberFormat="1" applyFont="1" applyAlignment="1" applyProtection="1">
      <alignment vertical="center"/>
      <protection/>
    </xf>
    <xf numFmtId="3" fontId="15" fillId="0" borderId="0" xfId="0" applyNumberFormat="1" applyFont="1" applyAlignment="1" applyProtection="1">
      <alignment vertical="center"/>
      <protection/>
    </xf>
    <xf numFmtId="3" fontId="55" fillId="34" borderId="25" xfId="0" applyNumberFormat="1" applyFont="1" applyFill="1" applyBorder="1" applyAlignment="1" applyProtection="1">
      <alignment horizontal="left" vertical="center"/>
      <protection/>
    </xf>
    <xf numFmtId="0" fontId="0" fillId="0" borderId="44" xfId="0" applyBorder="1" applyAlignment="1" applyProtection="1">
      <alignment vertical="center"/>
      <protection/>
    </xf>
    <xf numFmtId="3" fontId="53" fillId="34" borderId="25" xfId="0" applyNumberFormat="1" applyFont="1" applyFill="1" applyBorder="1" applyAlignment="1" applyProtection="1">
      <alignment horizontal="left" vertical="center" wrapText="1"/>
      <protection/>
    </xf>
    <xf numFmtId="3" fontId="63" fillId="34" borderId="25" xfId="0" applyNumberFormat="1" applyFont="1" applyFill="1" applyBorder="1" applyAlignment="1" applyProtection="1">
      <alignment horizontal="left" vertical="center"/>
      <protection/>
    </xf>
    <xf numFmtId="3" fontId="46" fillId="0" borderId="0" xfId="0" applyNumberFormat="1" applyFont="1" applyFill="1" applyBorder="1" applyAlignment="1" applyProtection="1">
      <alignment vertical="center"/>
      <protection/>
    </xf>
    <xf numFmtId="3" fontId="46" fillId="0" borderId="0" xfId="0" applyNumberFormat="1" applyFont="1" applyAlignment="1" applyProtection="1">
      <alignment vertical="center"/>
      <protection/>
    </xf>
    <xf numFmtId="3" fontId="46" fillId="0" borderId="0" xfId="0" applyNumberFormat="1" applyFont="1" applyFill="1" applyAlignment="1" applyProtection="1">
      <alignment vertical="center"/>
      <protection/>
    </xf>
    <xf numFmtId="3" fontId="26" fillId="34" borderId="25" xfId="0" applyNumberFormat="1" applyFont="1" applyFill="1" applyBorder="1" applyAlignment="1" applyProtection="1" quotePrefix="1">
      <alignment horizontal="left" vertical="center"/>
      <protection/>
    </xf>
    <xf numFmtId="3" fontId="62" fillId="34" borderId="25" xfId="0" applyNumberFormat="1" applyFont="1" applyFill="1" applyBorder="1" applyAlignment="1" applyProtection="1">
      <alignment horizontal="left" vertical="center"/>
      <protection/>
    </xf>
    <xf numFmtId="3" fontId="57" fillId="34" borderId="25" xfId="0" applyNumberFormat="1" applyFont="1" applyFill="1" applyBorder="1" applyAlignment="1" applyProtection="1">
      <alignment horizontal="left" vertical="center" indent="2"/>
      <protection/>
    </xf>
    <xf numFmtId="0" fontId="0" fillId="0" borderId="63" xfId="0" applyBorder="1" applyAlignment="1" applyProtection="1">
      <alignment vertical="center"/>
      <protection/>
    </xf>
    <xf numFmtId="3" fontId="52" fillId="34" borderId="41" xfId="0" applyNumberFormat="1" applyFont="1" applyFill="1" applyBorder="1" applyAlignment="1" applyProtection="1">
      <alignment vertical="center"/>
      <protection/>
    </xf>
    <xf numFmtId="3" fontId="40" fillId="0" borderId="64" xfId="0" applyNumberFormat="1" applyFont="1" applyBorder="1" applyAlignment="1" applyProtection="1">
      <alignment horizontal="center" vertical="center"/>
      <protection/>
    </xf>
    <xf numFmtId="3" fontId="48" fillId="0" borderId="65" xfId="0" applyNumberFormat="1" applyFont="1" applyBorder="1" applyAlignment="1" applyProtection="1">
      <alignment horizontal="center" vertical="center"/>
      <protection/>
    </xf>
    <xf numFmtId="0" fontId="0" fillId="0" borderId="66" xfId="0" applyBorder="1" applyAlignment="1" applyProtection="1">
      <alignment vertical="center"/>
      <protection/>
    </xf>
    <xf numFmtId="0" fontId="0" fillId="0" borderId="67" xfId="0" applyBorder="1" applyAlignment="1" applyProtection="1">
      <alignment vertical="center"/>
      <protection/>
    </xf>
    <xf numFmtId="189" fontId="21" fillId="34" borderId="68" xfId="0" applyNumberFormat="1" applyFont="1" applyFill="1" applyBorder="1" applyAlignment="1" applyProtection="1">
      <alignment horizontal="center" vertical="center"/>
      <protection/>
    </xf>
    <xf numFmtId="3" fontId="2" fillId="34" borderId="69" xfId="0" applyNumberFormat="1" applyFont="1" applyFill="1" applyBorder="1" applyAlignment="1" applyProtection="1">
      <alignment horizontal="center" vertical="center"/>
      <protection/>
    </xf>
    <xf numFmtId="0" fontId="0" fillId="0" borderId="70" xfId="0" applyBorder="1" applyAlignment="1" applyProtection="1">
      <alignment vertical="center"/>
      <protection/>
    </xf>
    <xf numFmtId="0" fontId="0" fillId="0" borderId="71" xfId="0" applyBorder="1" applyAlignment="1" applyProtection="1">
      <alignment vertical="center"/>
      <protection/>
    </xf>
    <xf numFmtId="1" fontId="50" fillId="34" borderId="72" xfId="0" applyNumberFormat="1" applyFont="1" applyFill="1" applyBorder="1" applyAlignment="1" applyProtection="1">
      <alignment horizontal="left" vertical="center"/>
      <protection/>
    </xf>
    <xf numFmtId="3" fontId="50" fillId="34" borderId="73" xfId="0" applyNumberFormat="1" applyFont="1" applyFill="1" applyBorder="1" applyAlignment="1" applyProtection="1">
      <alignment horizontal="right" vertical="center"/>
      <protection/>
    </xf>
    <xf numFmtId="0" fontId="0" fillId="0" borderId="74" xfId="0" applyBorder="1" applyAlignment="1" applyProtection="1">
      <alignment vertical="center"/>
      <protection/>
    </xf>
    <xf numFmtId="0" fontId="0" fillId="0" borderId="75" xfId="0" applyBorder="1" applyAlignment="1" applyProtection="1">
      <alignment vertical="center"/>
      <protection/>
    </xf>
    <xf numFmtId="1" fontId="52" fillId="34" borderId="76" xfId="0" applyNumberFormat="1" applyFont="1" applyFill="1" applyBorder="1" applyAlignment="1" applyProtection="1">
      <alignment horizontal="center" vertical="center"/>
      <protection/>
    </xf>
    <xf numFmtId="3" fontId="52" fillId="34" borderId="77" xfId="0" applyNumberFormat="1" applyFont="1" applyFill="1" applyBorder="1" applyAlignment="1" applyProtection="1">
      <alignment horizontal="right" vertical="center"/>
      <protection/>
    </xf>
    <xf numFmtId="0" fontId="0" fillId="0" borderId="78" xfId="0" applyBorder="1" applyAlignment="1" applyProtection="1">
      <alignment vertical="center"/>
      <protection/>
    </xf>
    <xf numFmtId="0" fontId="0" fillId="0" borderId="79" xfId="0" applyBorder="1" applyAlignment="1" applyProtection="1">
      <alignment vertical="center"/>
      <protection/>
    </xf>
    <xf numFmtId="1" fontId="63" fillId="34" borderId="72" xfId="0" applyNumberFormat="1" applyFont="1" applyFill="1" applyBorder="1" applyAlignment="1" applyProtection="1">
      <alignment horizontal="left" vertical="center"/>
      <protection/>
    </xf>
    <xf numFmtId="3" fontId="40" fillId="34" borderId="73" xfId="0" applyNumberFormat="1" applyFont="1" applyFill="1" applyBorder="1" applyAlignment="1" applyProtection="1">
      <alignment vertical="center"/>
      <protection/>
    </xf>
    <xf numFmtId="1" fontId="25" fillId="34" borderId="72" xfId="0" applyNumberFormat="1" applyFont="1" applyFill="1" applyBorder="1" applyAlignment="1" applyProtection="1">
      <alignment horizontal="left" vertical="center"/>
      <protection/>
    </xf>
    <xf numFmtId="3" fontId="6" fillId="34" borderId="73" xfId="0" applyNumberFormat="1" applyFont="1" applyFill="1" applyBorder="1" applyAlignment="1" applyProtection="1">
      <alignment vertical="center"/>
      <protection/>
    </xf>
    <xf numFmtId="189" fontId="26" fillId="34" borderId="72" xfId="0" applyNumberFormat="1" applyFont="1" applyFill="1" applyBorder="1" applyAlignment="1" applyProtection="1">
      <alignment horizontal="left" vertical="center"/>
      <protection/>
    </xf>
    <xf numFmtId="189" fontId="55" fillId="34" borderId="72" xfId="0" applyNumberFormat="1" applyFont="1" applyFill="1" applyBorder="1" applyAlignment="1" applyProtection="1">
      <alignment horizontal="left" vertical="center"/>
      <protection/>
    </xf>
    <xf numFmtId="3" fontId="64" fillId="34" borderId="73" xfId="0" applyNumberFormat="1" applyFont="1" applyFill="1" applyBorder="1" applyAlignment="1" applyProtection="1">
      <alignment horizontal="right" vertical="center"/>
      <protection/>
    </xf>
    <xf numFmtId="3" fontId="64" fillId="34" borderId="73" xfId="0" applyNumberFormat="1" applyFont="1" applyFill="1" applyBorder="1" applyAlignment="1" applyProtection="1">
      <alignment vertical="center"/>
      <protection/>
    </xf>
    <xf numFmtId="189" fontId="57" fillId="34" borderId="72" xfId="0" applyNumberFormat="1" applyFont="1" applyFill="1" applyBorder="1" applyAlignment="1" applyProtection="1">
      <alignment horizontal="left" vertical="center" indent="1"/>
      <protection/>
    </xf>
    <xf numFmtId="3" fontId="58" fillId="34" borderId="73" xfId="0" applyNumberFormat="1" applyFont="1" applyFill="1" applyBorder="1" applyAlignment="1" applyProtection="1">
      <alignment horizontal="right" vertical="center"/>
      <protection/>
    </xf>
    <xf numFmtId="189" fontId="62" fillId="34" borderId="72" xfId="0" applyNumberFormat="1" applyFont="1" applyFill="1" applyBorder="1" applyAlignment="1" applyProtection="1">
      <alignment horizontal="left" vertical="center"/>
      <protection/>
    </xf>
    <xf numFmtId="1" fontId="52" fillId="34" borderId="80" xfId="0" applyNumberFormat="1" applyFont="1" applyFill="1" applyBorder="1" applyAlignment="1" applyProtection="1">
      <alignment horizontal="center" vertical="center"/>
      <protection/>
    </xf>
    <xf numFmtId="3" fontId="52" fillId="34" borderId="81" xfId="0" applyNumberFormat="1" applyFont="1" applyFill="1" applyBorder="1" applyAlignment="1" applyProtection="1">
      <alignment vertical="center"/>
      <protection/>
    </xf>
    <xf numFmtId="3" fontId="52" fillId="34" borderId="82" xfId="0" applyNumberFormat="1" applyFont="1" applyFill="1" applyBorder="1" applyAlignment="1" applyProtection="1">
      <alignment horizontal="right" vertical="center"/>
      <protection/>
    </xf>
    <xf numFmtId="3" fontId="49" fillId="34" borderId="66" xfId="0" applyNumberFormat="1" applyFont="1" applyFill="1" applyBorder="1" applyAlignment="1" applyProtection="1">
      <alignment horizontal="left" vertical="center"/>
      <protection/>
    </xf>
    <xf numFmtId="3" fontId="49" fillId="34" borderId="67" xfId="0" applyNumberFormat="1" applyFont="1" applyFill="1" applyBorder="1" applyAlignment="1" applyProtection="1">
      <alignment horizontal="left" vertical="center"/>
      <protection/>
    </xf>
    <xf numFmtId="1" fontId="55" fillId="34" borderId="72" xfId="0" applyNumberFormat="1" applyFont="1" applyFill="1" applyBorder="1" applyAlignment="1" applyProtection="1">
      <alignment horizontal="left" vertical="center"/>
      <protection/>
    </xf>
    <xf numFmtId="1" fontId="53" fillId="34" borderId="72" xfId="0" applyNumberFormat="1" applyFont="1" applyFill="1" applyBorder="1" applyAlignment="1" applyProtection="1">
      <alignment horizontal="left" vertical="center"/>
      <protection/>
    </xf>
    <xf numFmtId="3" fontId="54" fillId="34" borderId="73" xfId="0" applyNumberFormat="1" applyFont="1" applyFill="1" applyBorder="1" applyAlignment="1" applyProtection="1">
      <alignment vertical="center"/>
      <protection/>
    </xf>
    <xf numFmtId="1" fontId="61" fillId="34" borderId="72" xfId="0" applyNumberFormat="1" applyFont="1" applyFill="1" applyBorder="1" applyAlignment="1" applyProtection="1">
      <alignment horizontal="right" vertical="center"/>
      <protection/>
    </xf>
    <xf numFmtId="1" fontId="62" fillId="34" borderId="72" xfId="0" applyNumberFormat="1" applyFont="1" applyFill="1" applyBorder="1" applyAlignment="1" applyProtection="1">
      <alignment horizontal="right" vertical="center"/>
      <protection/>
    </xf>
    <xf numFmtId="1" fontId="55" fillId="34" borderId="72" xfId="0" applyNumberFormat="1" applyFont="1" applyFill="1" applyBorder="1" applyAlignment="1" applyProtection="1">
      <alignment horizontal="right" vertical="center"/>
      <protection/>
    </xf>
    <xf numFmtId="189" fontId="12" fillId="34" borderId="74" xfId="0" applyNumberFormat="1" applyFont="1" applyFill="1" applyBorder="1" applyAlignment="1" applyProtection="1">
      <alignment horizontal="left" vertical="center"/>
      <protection/>
    </xf>
    <xf numFmtId="3" fontId="11" fillId="34" borderId="75" xfId="0" applyNumberFormat="1" applyFont="1" applyFill="1" applyBorder="1" applyAlignment="1" applyProtection="1">
      <alignment vertical="center"/>
      <protection/>
    </xf>
    <xf numFmtId="1" fontId="52" fillId="34" borderId="83" xfId="0" applyNumberFormat="1" applyFont="1" applyFill="1" applyBorder="1" applyAlignment="1" applyProtection="1">
      <alignment horizontal="center" vertical="center"/>
      <protection/>
    </xf>
    <xf numFmtId="3" fontId="52" fillId="34" borderId="84" xfId="0" applyNumberFormat="1" applyFont="1" applyFill="1" applyBorder="1" applyAlignment="1" applyProtection="1">
      <alignment horizontal="right" vertical="center"/>
      <protection/>
    </xf>
    <xf numFmtId="189" fontId="22" fillId="34" borderId="74" xfId="0" applyNumberFormat="1" applyFont="1" applyFill="1" applyBorder="1" applyAlignment="1" applyProtection="1" quotePrefix="1">
      <alignment horizontal="left" vertical="center"/>
      <protection/>
    </xf>
    <xf numFmtId="196" fontId="22" fillId="34" borderId="85" xfId="0" applyNumberFormat="1" applyFont="1" applyFill="1" applyBorder="1" applyAlignment="1" applyProtection="1">
      <alignment horizontal="left" vertical="center"/>
      <protection/>
    </xf>
    <xf numFmtId="189" fontId="22" fillId="34" borderId="86" xfId="0" applyNumberFormat="1" applyFont="1" applyFill="1" applyBorder="1" applyAlignment="1" applyProtection="1" quotePrefix="1">
      <alignment horizontal="left" vertical="center"/>
      <protection/>
    </xf>
    <xf numFmtId="3" fontId="65" fillId="34" borderId="73" xfId="0" applyNumberFormat="1" applyFont="1" applyFill="1" applyBorder="1" applyAlignment="1" applyProtection="1">
      <alignment vertical="center"/>
      <protection/>
    </xf>
    <xf numFmtId="3" fontId="65" fillId="0" borderId="0" xfId="0" applyNumberFormat="1" applyFont="1" applyAlignment="1" applyProtection="1">
      <alignment vertical="center"/>
      <protection/>
    </xf>
    <xf numFmtId="3" fontId="56" fillId="33" borderId="73" xfId="0" applyNumberFormat="1" applyFont="1" applyFill="1" applyBorder="1" applyAlignment="1" applyProtection="1">
      <alignment vertical="center"/>
      <protection locked="0"/>
    </xf>
    <xf numFmtId="3" fontId="60" fillId="33" borderId="73" xfId="0" applyNumberFormat="1" applyFont="1" applyFill="1" applyBorder="1" applyAlignment="1" applyProtection="1">
      <alignment vertical="center"/>
      <protection locked="0"/>
    </xf>
    <xf numFmtId="3" fontId="56" fillId="33" borderId="73" xfId="0" applyNumberFormat="1" applyFont="1" applyFill="1" applyBorder="1" applyAlignment="1" applyProtection="1">
      <alignment horizontal="right" vertical="center"/>
      <protection locked="0"/>
    </xf>
    <xf numFmtId="3" fontId="59" fillId="33" borderId="73" xfId="0" applyNumberFormat="1" applyFont="1" applyFill="1" applyBorder="1" applyAlignment="1" applyProtection="1">
      <alignment horizontal="right" vertical="center"/>
      <protection locked="0"/>
    </xf>
    <xf numFmtId="3" fontId="64" fillId="0" borderId="73" xfId="0" applyNumberFormat="1" applyFont="1" applyFill="1" applyBorder="1" applyAlignment="1" applyProtection="1">
      <alignment horizontal="right" vertical="center"/>
      <protection/>
    </xf>
    <xf numFmtId="3" fontId="40" fillId="34" borderId="87" xfId="0" applyNumberFormat="1" applyFont="1" applyFill="1" applyBorder="1" applyAlignment="1" applyProtection="1">
      <alignment vertical="center"/>
      <protection/>
    </xf>
    <xf numFmtId="3" fontId="40" fillId="34" borderId="88" xfId="0" applyNumberFormat="1" applyFont="1" applyFill="1" applyBorder="1" applyAlignment="1" applyProtection="1">
      <alignment vertical="center"/>
      <protection/>
    </xf>
    <xf numFmtId="3" fontId="40" fillId="34" borderId="89" xfId="0" applyNumberFormat="1" applyFont="1" applyFill="1" applyBorder="1" applyAlignment="1" applyProtection="1">
      <alignment vertical="center"/>
      <protection/>
    </xf>
    <xf numFmtId="3" fontId="42" fillId="0" borderId="55" xfId="50" applyNumberFormat="1" applyFont="1" applyFill="1" applyBorder="1" applyAlignment="1" applyProtection="1">
      <alignment/>
      <protection/>
    </xf>
    <xf numFmtId="3" fontId="35" fillId="33" borderId="26" xfId="56" applyNumberFormat="1" applyFont="1" applyFill="1" applyBorder="1" applyAlignment="1" applyProtection="1">
      <alignment horizontal="right" vertical="center"/>
      <protection locked="0"/>
    </xf>
    <xf numFmtId="0" fontId="66" fillId="0" borderId="0" xfId="0" applyFont="1" applyAlignment="1">
      <alignment/>
    </xf>
    <xf numFmtId="0" fontId="36" fillId="0" borderId="0" xfId="0" applyFont="1" applyAlignment="1">
      <alignment/>
    </xf>
    <xf numFmtId="0" fontId="0" fillId="0" borderId="0" xfId="0" applyFont="1" applyAlignment="1">
      <alignment/>
    </xf>
    <xf numFmtId="0" fontId="0" fillId="0" borderId="24" xfId="0" applyBorder="1" applyAlignment="1">
      <alignment/>
    </xf>
    <xf numFmtId="0" fontId="0" fillId="0" borderId="32" xfId="0" applyFont="1" applyBorder="1" applyAlignment="1">
      <alignment horizontal="center" vertical="center" wrapText="1"/>
    </xf>
    <xf numFmtId="0" fontId="0" fillId="0" borderId="27" xfId="0" applyFont="1" applyBorder="1" applyAlignment="1">
      <alignment horizontal="center" vertical="center" wrapText="1"/>
    </xf>
    <xf numFmtId="0" fontId="0" fillId="0" borderId="28" xfId="0" applyFont="1" applyBorder="1" applyAlignment="1">
      <alignment horizontal="center" vertical="center" wrapText="1"/>
    </xf>
    <xf numFmtId="0" fontId="0" fillId="0" borderId="29" xfId="0" applyBorder="1" applyAlignment="1">
      <alignment/>
    </xf>
    <xf numFmtId="3" fontId="2" fillId="0" borderId="20" xfId="0" applyNumberFormat="1" applyFont="1" applyBorder="1" applyAlignment="1">
      <alignment/>
    </xf>
    <xf numFmtId="3" fontId="0" fillId="0" borderId="32" xfId="0" applyNumberFormat="1" applyBorder="1" applyAlignment="1">
      <alignment/>
    </xf>
    <xf numFmtId="3" fontId="0" fillId="0" borderId="0" xfId="0" applyNumberFormat="1" applyAlignment="1" applyProtection="1">
      <alignment horizontal="right"/>
      <protection/>
    </xf>
    <xf numFmtId="4" fontId="0" fillId="0" borderId="25" xfId="0" applyNumberFormat="1" applyBorder="1" applyAlignment="1">
      <alignment/>
    </xf>
    <xf numFmtId="4" fontId="0" fillId="0" borderId="26" xfId="0" applyNumberFormat="1" applyBorder="1" applyAlignment="1">
      <alignment/>
    </xf>
    <xf numFmtId="4" fontId="0" fillId="0" borderId="27" xfId="0" applyNumberFormat="1" applyBorder="1" applyAlignment="1">
      <alignment/>
    </xf>
    <xf numFmtId="4" fontId="0" fillId="0" borderId="28" xfId="0" applyNumberFormat="1" applyBorder="1" applyAlignment="1">
      <alignment/>
    </xf>
    <xf numFmtId="4" fontId="0" fillId="0" borderId="22" xfId="0" applyNumberFormat="1" applyBorder="1" applyAlignment="1">
      <alignment/>
    </xf>
    <xf numFmtId="4" fontId="0" fillId="0" borderId="23" xfId="0" applyNumberFormat="1" applyBorder="1" applyAlignment="1">
      <alignment/>
    </xf>
    <xf numFmtId="0" fontId="0" fillId="0" borderId="27" xfId="0" applyFont="1" applyFill="1" applyBorder="1" applyAlignment="1">
      <alignment horizontal="center" vertical="center" wrapText="1"/>
    </xf>
    <xf numFmtId="0" fontId="2" fillId="0" borderId="27" xfId="0" applyFont="1" applyBorder="1" applyAlignment="1">
      <alignment horizontal="center"/>
    </xf>
    <xf numFmtId="0" fontId="2" fillId="0" borderId="28" xfId="0" applyFont="1" applyBorder="1" applyAlignment="1">
      <alignment horizontal="center"/>
    </xf>
    <xf numFmtId="0" fontId="6" fillId="0" borderId="0" xfId="0" applyFont="1" applyAlignment="1">
      <alignment/>
    </xf>
    <xf numFmtId="3" fontId="64" fillId="0" borderId="73" xfId="0" applyNumberFormat="1" applyFont="1" applyFill="1" applyBorder="1" applyAlignment="1" applyProtection="1">
      <alignment vertical="center"/>
      <protection/>
    </xf>
    <xf numFmtId="0" fontId="0" fillId="0" borderId="0" xfId="0" applyFill="1" applyAlignment="1" applyProtection="1">
      <alignment vertical="center"/>
      <protection/>
    </xf>
    <xf numFmtId="3" fontId="24" fillId="0" borderId="0" xfId="0" applyNumberFormat="1" applyFont="1" applyFill="1" applyBorder="1" applyAlignment="1" applyProtection="1">
      <alignment vertical="center"/>
      <protection/>
    </xf>
    <xf numFmtId="3" fontId="18" fillId="0" borderId="0" xfId="0" applyNumberFormat="1" applyFont="1" applyFill="1" applyBorder="1" applyAlignment="1" applyProtection="1">
      <alignment vertical="center"/>
      <protection/>
    </xf>
    <xf numFmtId="3" fontId="50" fillId="0" borderId="25" xfId="0" applyNumberFormat="1" applyFont="1" applyFill="1" applyBorder="1" applyAlignment="1" applyProtection="1">
      <alignment vertical="center"/>
      <protection/>
    </xf>
    <xf numFmtId="3" fontId="8" fillId="0" borderId="0" xfId="0" applyNumberFormat="1" applyFont="1" applyFill="1" applyAlignment="1" applyProtection="1">
      <alignment horizontal="center" vertical="center"/>
      <protection/>
    </xf>
    <xf numFmtId="3" fontId="18" fillId="0" borderId="0" xfId="0" applyNumberFormat="1" applyFont="1" applyFill="1" applyAlignment="1" applyProtection="1">
      <alignment vertical="center"/>
      <protection/>
    </xf>
    <xf numFmtId="3" fontId="55" fillId="0" borderId="25" xfId="0" applyNumberFormat="1" applyFont="1" applyFill="1" applyBorder="1" applyAlignment="1" applyProtection="1">
      <alignment horizontal="left" vertical="center"/>
      <protection/>
    </xf>
    <xf numFmtId="3" fontId="25" fillId="0" borderId="25" xfId="0" applyNumberFormat="1" applyFont="1" applyFill="1" applyBorder="1" applyAlignment="1" applyProtection="1">
      <alignment horizontal="left" vertical="center"/>
      <protection/>
    </xf>
    <xf numFmtId="3" fontId="53" fillId="0" borderId="25" xfId="0" applyNumberFormat="1" applyFont="1" applyFill="1" applyBorder="1" applyAlignment="1" applyProtection="1">
      <alignment horizontal="left" vertical="center"/>
      <protection/>
    </xf>
    <xf numFmtId="3" fontId="61" fillId="0" borderId="25" xfId="0" applyNumberFormat="1" applyFont="1" applyFill="1" applyBorder="1" applyAlignment="1" applyProtection="1">
      <alignment horizontal="left" vertical="center" indent="3"/>
      <protection/>
    </xf>
    <xf numFmtId="3" fontId="53" fillId="0" borderId="25" xfId="0" applyNumberFormat="1" applyFont="1" applyFill="1" applyBorder="1" applyAlignment="1" applyProtection="1">
      <alignment horizontal="left" vertical="center" wrapText="1"/>
      <protection/>
    </xf>
    <xf numFmtId="3" fontId="55" fillId="0" borderId="25" xfId="0" applyNumberFormat="1" applyFont="1" applyFill="1" applyBorder="1" applyAlignment="1" applyProtection="1">
      <alignment horizontal="left" vertical="center" indent="3"/>
      <protection/>
    </xf>
    <xf numFmtId="3" fontId="10" fillId="0" borderId="0" xfId="0" applyNumberFormat="1" applyFont="1" applyFill="1" applyAlignment="1" applyProtection="1">
      <alignment vertical="center"/>
      <protection/>
    </xf>
    <xf numFmtId="189" fontId="25" fillId="0" borderId="0" xfId="0" applyNumberFormat="1" applyFont="1" applyFill="1" applyBorder="1" applyAlignment="1" applyProtection="1" quotePrefix="1">
      <alignment horizontal="left" vertical="center"/>
      <protection/>
    </xf>
    <xf numFmtId="3" fontId="25" fillId="0" borderId="0" xfId="0" applyNumberFormat="1" applyFont="1" applyFill="1" applyBorder="1" applyAlignment="1" applyProtection="1">
      <alignment horizontal="left" vertical="center"/>
      <protection/>
    </xf>
    <xf numFmtId="3" fontId="29" fillId="0" borderId="0" xfId="0" applyNumberFormat="1" applyFont="1" applyFill="1" applyBorder="1" applyAlignment="1" applyProtection="1">
      <alignment vertical="center"/>
      <protection/>
    </xf>
    <xf numFmtId="0" fontId="46" fillId="0" borderId="0" xfId="0" applyFont="1" applyFill="1" applyAlignment="1" applyProtection="1">
      <alignment vertical="center"/>
      <protection/>
    </xf>
    <xf numFmtId="3" fontId="65" fillId="0" borderId="0" xfId="0" applyNumberFormat="1" applyFont="1" applyFill="1" applyBorder="1" applyAlignment="1" applyProtection="1">
      <alignment vertical="center"/>
      <protection/>
    </xf>
    <xf numFmtId="3" fontId="65" fillId="0" borderId="0" xfId="0" applyNumberFormat="1" applyFont="1" applyFill="1" applyAlignment="1" applyProtection="1">
      <alignment vertical="center"/>
      <protection/>
    </xf>
    <xf numFmtId="3" fontId="19" fillId="0" borderId="0" xfId="0" applyNumberFormat="1" applyFont="1" applyFill="1" applyAlignment="1" applyProtection="1">
      <alignment vertical="center"/>
      <protection/>
    </xf>
    <xf numFmtId="3" fontId="15" fillId="0" borderId="0" xfId="0" applyNumberFormat="1" applyFont="1" applyFill="1" applyBorder="1" applyAlignment="1" applyProtection="1">
      <alignment vertical="center"/>
      <protection/>
    </xf>
    <xf numFmtId="3" fontId="15" fillId="0" borderId="0" xfId="0" applyNumberFormat="1" applyFont="1" applyFill="1" applyAlignment="1" applyProtection="1">
      <alignment vertical="center"/>
      <protection/>
    </xf>
    <xf numFmtId="192" fontId="8" fillId="0" borderId="0" xfId="0" applyNumberFormat="1" applyFont="1" applyFill="1" applyAlignment="1" applyProtection="1">
      <alignment vertical="center"/>
      <protection/>
    </xf>
    <xf numFmtId="4" fontId="8" fillId="0" borderId="0" xfId="0" applyNumberFormat="1" applyFont="1" applyFill="1" applyAlignment="1" applyProtection="1">
      <alignment vertical="center"/>
      <protection/>
    </xf>
    <xf numFmtId="189" fontId="8" fillId="0" borderId="0" xfId="0" applyNumberFormat="1" applyFont="1" applyFill="1" applyBorder="1" applyAlignment="1" applyProtection="1">
      <alignment horizontal="left" vertical="center"/>
      <protection/>
    </xf>
    <xf numFmtId="3" fontId="68" fillId="0" borderId="0" xfId="0" applyNumberFormat="1" applyFont="1" applyFill="1" applyBorder="1" applyAlignment="1" applyProtection="1">
      <alignment vertical="center"/>
      <protection/>
    </xf>
    <xf numFmtId="3" fontId="68" fillId="0" borderId="0" xfId="0" applyNumberFormat="1" applyFont="1" applyFill="1" applyAlignment="1" applyProtection="1">
      <alignment vertical="center"/>
      <protection/>
    </xf>
    <xf numFmtId="3" fontId="69" fillId="0" borderId="0" xfId="0" applyNumberFormat="1" applyFont="1" applyFill="1" applyAlignment="1" applyProtection="1">
      <alignment vertical="center"/>
      <protection/>
    </xf>
    <xf numFmtId="3" fontId="29" fillId="0" borderId="0" xfId="0" applyNumberFormat="1" applyFont="1" applyFill="1" applyAlignment="1" applyProtection="1">
      <alignment vertical="center"/>
      <protection/>
    </xf>
    <xf numFmtId="3" fontId="11" fillId="0" borderId="0" xfId="0" applyNumberFormat="1" applyFont="1" applyFill="1" applyBorder="1" applyAlignment="1" applyProtection="1">
      <alignment vertical="center"/>
      <protection/>
    </xf>
    <xf numFmtId="3" fontId="11" fillId="0" borderId="0" xfId="0" applyNumberFormat="1" applyFont="1" applyFill="1" applyAlignment="1" applyProtection="1">
      <alignment vertical="center"/>
      <protection/>
    </xf>
    <xf numFmtId="3" fontId="7" fillId="0" borderId="0" xfId="0" applyNumberFormat="1" applyFont="1" applyFill="1" applyBorder="1" applyAlignment="1" applyProtection="1">
      <alignment vertical="center"/>
      <protection/>
    </xf>
    <xf numFmtId="3" fontId="7" fillId="0" borderId="0" xfId="0" applyNumberFormat="1" applyFont="1" applyFill="1" applyAlignment="1" applyProtection="1">
      <alignment vertical="center"/>
      <protection/>
    </xf>
    <xf numFmtId="3" fontId="70" fillId="0" borderId="0" xfId="0" applyNumberFormat="1" applyFont="1" applyFill="1" applyAlignment="1" applyProtection="1">
      <alignment vertical="center"/>
      <protection/>
    </xf>
    <xf numFmtId="3" fontId="71" fillId="0" borderId="0" xfId="0" applyNumberFormat="1" applyFont="1" applyFill="1" applyBorder="1" applyAlignment="1" applyProtection="1">
      <alignment vertical="center"/>
      <protection/>
    </xf>
    <xf numFmtId="3" fontId="71" fillId="0" borderId="0" xfId="0" applyNumberFormat="1" applyFont="1" applyFill="1" applyAlignment="1" applyProtection="1">
      <alignment vertical="center"/>
      <protection/>
    </xf>
    <xf numFmtId="3" fontId="72" fillId="0" borderId="0" xfId="0" applyNumberFormat="1" applyFont="1" applyFill="1" applyBorder="1" applyAlignment="1" applyProtection="1">
      <alignment vertical="center"/>
      <protection/>
    </xf>
    <xf numFmtId="3" fontId="72" fillId="0" borderId="0" xfId="0" applyNumberFormat="1" applyFont="1" applyFill="1" applyAlignment="1" applyProtection="1">
      <alignment vertical="center"/>
      <protection/>
    </xf>
    <xf numFmtId="0" fontId="2" fillId="0" borderId="20" xfId="0" applyFont="1" applyBorder="1" applyAlignment="1" applyProtection="1">
      <alignment horizontal="center" vertical="center" wrapText="1"/>
      <protection/>
    </xf>
    <xf numFmtId="1" fontId="58" fillId="0" borderId="72" xfId="0" applyNumberFormat="1" applyFont="1" applyFill="1" applyBorder="1" applyAlignment="1" applyProtection="1">
      <alignment horizontal="right" vertical="center"/>
      <protection/>
    </xf>
    <xf numFmtId="3" fontId="58" fillId="0" borderId="25" xfId="0" applyNumberFormat="1" applyFont="1" applyFill="1" applyBorder="1" applyAlignment="1" applyProtection="1">
      <alignment horizontal="left" vertical="center" indent="5"/>
      <protection/>
    </xf>
    <xf numFmtId="1" fontId="64" fillId="0" borderId="72" xfId="0" applyNumberFormat="1" applyFont="1" applyFill="1" applyBorder="1" applyAlignment="1" applyProtection="1">
      <alignment horizontal="right" vertical="center"/>
      <protection/>
    </xf>
    <xf numFmtId="3" fontId="64" fillId="0" borderId="25" xfId="0" applyNumberFormat="1" applyFont="1" applyFill="1" applyBorder="1" applyAlignment="1" applyProtection="1">
      <alignment horizontal="left" vertical="center" indent="3"/>
      <protection/>
    </xf>
    <xf numFmtId="0" fontId="73" fillId="0" borderId="11" xfId="0" applyFont="1" applyBorder="1" applyAlignment="1" applyProtection="1">
      <alignment horizontal="centerContinuous"/>
      <protection/>
    </xf>
    <xf numFmtId="3" fontId="73" fillId="0" borderId="11" xfId="0" applyNumberFormat="1" applyFont="1" applyBorder="1" applyAlignment="1" applyProtection="1">
      <alignment horizontal="centerContinuous"/>
      <protection/>
    </xf>
    <xf numFmtId="49" fontId="42" fillId="33" borderId="58" xfId="0" applyNumberFormat="1" applyFont="1" applyFill="1" applyBorder="1" applyAlignment="1" applyProtection="1">
      <alignment horizontal="center"/>
      <protection locked="0"/>
    </xf>
    <xf numFmtId="0" fontId="42" fillId="33" borderId="58" xfId="0" applyFont="1" applyFill="1" applyBorder="1" applyAlignment="1" applyProtection="1">
      <alignment horizontal="center"/>
      <protection locked="0"/>
    </xf>
    <xf numFmtId="3" fontId="42" fillId="33" borderId="54" xfId="50" applyNumberFormat="1" applyFont="1" applyFill="1" applyBorder="1" applyAlignment="1" applyProtection="1">
      <alignment horizontal="center"/>
      <protection locked="0"/>
    </xf>
    <xf numFmtId="3" fontId="42" fillId="33" borderId="55" xfId="50" applyNumberFormat="1" applyFont="1" applyFill="1" applyBorder="1" applyAlignment="1" applyProtection="1">
      <alignment horizontal="center"/>
      <protection locked="0"/>
    </xf>
    <xf numFmtId="3" fontId="42" fillId="0" borderId="55" xfId="50" applyNumberFormat="1" applyFont="1" applyBorder="1" applyAlignment="1" applyProtection="1">
      <alignment horizontal="center"/>
      <protection locked="0"/>
    </xf>
    <xf numFmtId="1" fontId="53" fillId="34" borderId="72" xfId="0" applyNumberFormat="1" applyFont="1" applyFill="1" applyBorder="1" applyAlignment="1" applyProtection="1">
      <alignment horizontal="center" vertical="center"/>
      <protection/>
    </xf>
    <xf numFmtId="1" fontId="62" fillId="34" borderId="72" xfId="0" applyNumberFormat="1" applyFont="1" applyFill="1" applyBorder="1" applyAlignment="1" applyProtection="1">
      <alignment horizontal="center" vertical="center"/>
      <protection/>
    </xf>
    <xf numFmtId="3" fontId="62" fillId="0" borderId="25" xfId="0" applyNumberFormat="1" applyFont="1" applyFill="1" applyBorder="1" applyAlignment="1" applyProtection="1">
      <alignment horizontal="left" vertical="center" indent="3"/>
      <protection/>
    </xf>
    <xf numFmtId="190" fontId="40" fillId="0" borderId="44" xfId="0" applyNumberFormat="1" applyFont="1" applyBorder="1" applyAlignment="1" applyProtection="1">
      <alignment horizontal="centerContinuous"/>
      <protection/>
    </xf>
    <xf numFmtId="3" fontId="35" fillId="33" borderId="26" xfId="0" applyNumberFormat="1" applyFont="1" applyFill="1" applyBorder="1" applyAlignment="1" applyProtection="1">
      <alignment horizontal="center" vertical="center"/>
      <protection locked="0"/>
    </xf>
    <xf numFmtId="0" fontId="27" fillId="0" borderId="0" xfId="0" applyFont="1" applyAlignment="1">
      <alignment/>
    </xf>
    <xf numFmtId="3" fontId="59" fillId="33" borderId="73" xfId="0" applyNumberFormat="1" applyFont="1" applyFill="1" applyBorder="1" applyAlignment="1" applyProtection="1">
      <alignment vertical="center"/>
      <protection locked="0"/>
    </xf>
    <xf numFmtId="0" fontId="0" fillId="33" borderId="24" xfId="0" applyFont="1" applyFill="1" applyBorder="1" applyAlignment="1" applyProtection="1">
      <alignment/>
      <protection locked="0"/>
    </xf>
    <xf numFmtId="0" fontId="0" fillId="0" borderId="27" xfId="0" applyFont="1" applyBorder="1" applyAlignment="1">
      <alignment horizontal="center" vertical="center" wrapText="1"/>
    </xf>
    <xf numFmtId="3" fontId="2" fillId="0" borderId="19" xfId="0" applyNumberFormat="1" applyFont="1" applyBorder="1" applyAlignment="1">
      <alignment/>
    </xf>
    <xf numFmtId="3" fontId="0" fillId="0" borderId="21" xfId="0" applyNumberFormat="1" applyFont="1" applyBorder="1" applyAlignment="1">
      <alignment/>
    </xf>
    <xf numFmtId="0" fontId="0" fillId="33" borderId="32" xfId="0" applyFont="1" applyFill="1" applyBorder="1" applyAlignment="1" applyProtection="1">
      <alignment/>
      <protection locked="0"/>
    </xf>
    <xf numFmtId="0" fontId="0" fillId="33" borderId="25" xfId="0" applyFont="1" applyFill="1" applyBorder="1" applyAlignment="1" applyProtection="1">
      <alignment/>
      <protection locked="0"/>
    </xf>
    <xf numFmtId="0" fontId="0" fillId="33" borderId="27" xfId="0" applyFont="1" applyFill="1" applyBorder="1" applyAlignment="1" applyProtection="1">
      <alignment/>
      <protection locked="0"/>
    </xf>
    <xf numFmtId="0" fontId="0" fillId="33" borderId="26" xfId="0" applyFont="1" applyFill="1" applyBorder="1" applyAlignment="1" applyProtection="1">
      <alignment/>
      <protection locked="0"/>
    </xf>
    <xf numFmtId="0" fontId="0" fillId="33" borderId="28" xfId="0" applyFont="1" applyFill="1" applyBorder="1" applyAlignment="1" applyProtection="1">
      <alignment/>
      <protection locked="0"/>
    </xf>
    <xf numFmtId="0" fontId="0" fillId="0" borderId="20" xfId="0" applyFill="1" applyBorder="1" applyAlignment="1" applyProtection="1">
      <alignment/>
      <protection/>
    </xf>
    <xf numFmtId="0" fontId="0" fillId="0" borderId="60" xfId="0" applyBorder="1" applyAlignment="1" applyProtection="1">
      <alignment/>
      <protection/>
    </xf>
    <xf numFmtId="0" fontId="0" fillId="0" borderId="57" xfId="0" applyBorder="1" applyAlignment="1" applyProtection="1">
      <alignment/>
      <protection/>
    </xf>
    <xf numFmtId="9" fontId="5" fillId="33" borderId="90" xfId="56" applyFont="1" applyFill="1" applyBorder="1" applyAlignment="1" applyProtection="1">
      <alignment horizontal="center" vertical="center"/>
      <protection locked="0"/>
    </xf>
    <xf numFmtId="1" fontId="53" fillId="34" borderId="91" xfId="0" applyNumberFormat="1" applyFont="1" applyFill="1" applyBorder="1" applyAlignment="1" applyProtection="1">
      <alignment horizontal="center" vertical="center"/>
      <protection/>
    </xf>
    <xf numFmtId="3" fontId="60" fillId="33" borderId="25" xfId="0" applyNumberFormat="1" applyFont="1" applyFill="1" applyBorder="1" applyAlignment="1" applyProtection="1">
      <alignment vertical="center"/>
      <protection locked="0"/>
    </xf>
    <xf numFmtId="0" fontId="0" fillId="0" borderId="0" xfId="0" applyAlignment="1" applyProtection="1">
      <alignment/>
      <protection locked="0"/>
    </xf>
    <xf numFmtId="3" fontId="35" fillId="33" borderId="28" xfId="0" applyNumberFormat="1" applyFont="1" applyFill="1" applyBorder="1" applyAlignment="1" applyProtection="1">
      <alignment horizontal="center" vertical="center"/>
      <protection locked="0"/>
    </xf>
    <xf numFmtId="0" fontId="42" fillId="0" borderId="0" xfId="0" applyFont="1" applyAlignment="1">
      <alignment horizontal="justify"/>
    </xf>
    <xf numFmtId="0" fontId="65" fillId="0" borderId="0" xfId="0" applyFont="1" applyAlignment="1">
      <alignment horizontal="center"/>
    </xf>
    <xf numFmtId="0" fontId="42" fillId="0" borderId="0" xfId="0" applyFont="1" applyAlignment="1">
      <alignment horizontal="left"/>
    </xf>
    <xf numFmtId="0" fontId="47" fillId="0" borderId="0" xfId="0" applyFont="1" applyFill="1" applyBorder="1" applyAlignment="1" applyProtection="1">
      <alignment horizontal="center" vertical="center" wrapText="1"/>
      <protection locked="0"/>
    </xf>
    <xf numFmtId="0" fontId="0" fillId="0" borderId="0" xfId="0" applyBorder="1" applyAlignment="1" applyProtection="1">
      <alignment horizontal="center" vertical="center" wrapText="1"/>
      <protection/>
    </xf>
    <xf numFmtId="10" fontId="0" fillId="0" borderId="0" xfId="0" applyNumberFormat="1" applyFill="1" applyBorder="1" applyAlignment="1" applyProtection="1">
      <alignment/>
      <protection/>
    </xf>
    <xf numFmtId="0" fontId="0" fillId="0" borderId="0" xfId="0" applyFill="1" applyBorder="1" applyAlignment="1" applyProtection="1">
      <alignment/>
      <protection/>
    </xf>
    <xf numFmtId="0" fontId="46" fillId="0" borderId="0" xfId="0" applyFont="1" applyFill="1" applyBorder="1" applyAlignment="1" applyProtection="1">
      <alignment vertical="center"/>
      <protection/>
    </xf>
    <xf numFmtId="3" fontId="47" fillId="0" borderId="0" xfId="0" applyNumberFormat="1" applyFont="1" applyFill="1" applyBorder="1" applyAlignment="1" applyProtection="1">
      <alignment vertical="center" wrapText="1"/>
      <protection locked="0"/>
    </xf>
    <xf numFmtId="0" fontId="0" fillId="0" borderId="11" xfId="0" applyBorder="1" applyAlignment="1" applyProtection="1">
      <alignment horizontal="center" vertical="center" wrapText="1"/>
      <protection/>
    </xf>
    <xf numFmtId="0" fontId="0" fillId="0" borderId="50" xfId="0" applyBorder="1" applyAlignment="1">
      <alignment/>
    </xf>
    <xf numFmtId="0" fontId="0" fillId="0" borderId="63" xfId="0" applyBorder="1" applyAlignment="1">
      <alignment/>
    </xf>
    <xf numFmtId="0" fontId="0" fillId="0" borderId="51" xfId="0" applyBorder="1" applyAlignment="1">
      <alignment/>
    </xf>
    <xf numFmtId="0" fontId="0" fillId="0" borderId="62" xfId="0" applyBorder="1" applyAlignment="1">
      <alignment/>
    </xf>
    <xf numFmtId="0" fontId="0" fillId="0" borderId="0" xfId="0" applyFont="1" applyAlignment="1" applyProtection="1">
      <alignment/>
      <protection locked="0"/>
    </xf>
    <xf numFmtId="0" fontId="0" fillId="0" borderId="25" xfId="0" applyFont="1" applyBorder="1" applyAlignment="1" applyProtection="1">
      <alignment/>
      <protection/>
    </xf>
    <xf numFmtId="3" fontId="42" fillId="0" borderId="25" xfId="0" applyNumberFormat="1" applyFont="1" applyBorder="1" applyAlignment="1" applyProtection="1">
      <alignment horizontal="center"/>
      <protection/>
    </xf>
    <xf numFmtId="0" fontId="0" fillId="0" borderId="25" xfId="0" applyBorder="1" applyAlignment="1" applyProtection="1">
      <alignment horizontal="center"/>
      <protection/>
    </xf>
    <xf numFmtId="0" fontId="0" fillId="0" borderId="92" xfId="0" applyBorder="1" applyAlignment="1" applyProtection="1">
      <alignment horizontal="center"/>
      <protection/>
    </xf>
    <xf numFmtId="0" fontId="0" fillId="0" borderId="14" xfId="0" applyBorder="1" applyAlignment="1" applyProtection="1">
      <alignment horizontal="center"/>
      <protection/>
    </xf>
    <xf numFmtId="3" fontId="0" fillId="0" borderId="25" xfId="0" applyNumberFormat="1" applyBorder="1" applyAlignment="1" applyProtection="1">
      <alignment horizontal="center"/>
      <protection/>
    </xf>
    <xf numFmtId="3" fontId="0" fillId="0" borderId="0" xfId="0" applyNumberFormat="1" applyFill="1" applyBorder="1" applyAlignment="1" applyProtection="1">
      <alignment horizontal="center"/>
      <protection/>
    </xf>
    <xf numFmtId="0" fontId="131" fillId="0" borderId="0" xfId="0" applyFont="1" applyBorder="1" applyAlignment="1" applyProtection="1">
      <alignment horizontal="center"/>
      <protection/>
    </xf>
    <xf numFmtId="14" fontId="0" fillId="0" borderId="0" xfId="0" applyNumberFormat="1" applyBorder="1" applyAlignment="1">
      <alignment/>
    </xf>
    <xf numFmtId="0" fontId="0" fillId="0" borderId="0" xfId="0" applyBorder="1" applyAlignment="1" applyProtection="1">
      <alignment/>
      <protection locked="0"/>
    </xf>
    <xf numFmtId="0" fontId="0" fillId="0" borderId="10" xfId="0" applyBorder="1" applyAlignment="1" applyProtection="1">
      <alignment/>
      <protection locked="0"/>
    </xf>
    <xf numFmtId="0" fontId="0" fillId="0" borderId="0" xfId="0" applyFont="1" applyBorder="1" applyAlignment="1" applyProtection="1">
      <alignment/>
      <protection locked="0"/>
    </xf>
    <xf numFmtId="0" fontId="0" fillId="0" borderId="93" xfId="0" applyBorder="1" applyAlignment="1" applyProtection="1">
      <alignment/>
      <protection/>
    </xf>
    <xf numFmtId="3" fontId="2" fillId="37" borderId="93" xfId="0" applyNumberFormat="1" applyFont="1" applyFill="1" applyBorder="1" applyAlignment="1" applyProtection="1">
      <alignment horizontal="center"/>
      <protection/>
    </xf>
    <xf numFmtId="0" fontId="0" fillId="0" borderId="94" xfId="0" applyBorder="1" applyAlignment="1">
      <alignment/>
    </xf>
    <xf numFmtId="0" fontId="46" fillId="0" borderId="94" xfId="0" applyFont="1" applyFill="1" applyBorder="1" applyAlignment="1" applyProtection="1">
      <alignment vertical="center"/>
      <protection/>
    </xf>
    <xf numFmtId="0" fontId="0" fillId="37" borderId="93" xfId="0" applyFill="1" applyBorder="1" applyAlignment="1" applyProtection="1">
      <alignment/>
      <protection/>
    </xf>
    <xf numFmtId="9" fontId="2" fillId="37" borderId="93" xfId="56" applyFont="1" applyFill="1" applyBorder="1" applyAlignment="1" applyProtection="1">
      <alignment horizontal="center"/>
      <protection/>
    </xf>
    <xf numFmtId="3" fontId="60" fillId="33" borderId="73" xfId="0" applyNumberFormat="1" applyFont="1" applyFill="1" applyBorder="1" applyAlignment="1" applyProtection="1">
      <alignment vertical="center"/>
      <protection/>
    </xf>
    <xf numFmtId="0" fontId="0" fillId="0" borderId="24" xfId="0" applyFont="1" applyBorder="1" applyAlignment="1" applyProtection="1">
      <alignment/>
      <protection/>
    </xf>
    <xf numFmtId="3" fontId="49" fillId="34" borderId="0" xfId="0" applyNumberFormat="1" applyFont="1" applyFill="1" applyBorder="1" applyAlignment="1" applyProtection="1">
      <alignment horizontal="left" vertical="center" wrapText="1"/>
      <protection/>
    </xf>
    <xf numFmtId="3" fontId="21" fillId="34" borderId="19" xfId="0" applyNumberFormat="1" applyFont="1" applyFill="1" applyBorder="1" applyAlignment="1" applyProtection="1">
      <alignment horizontal="center" vertical="center" wrapText="1"/>
      <protection/>
    </xf>
    <xf numFmtId="0" fontId="0" fillId="0" borderId="44" xfId="0" applyBorder="1" applyAlignment="1" applyProtection="1">
      <alignment vertical="center" wrapText="1"/>
      <protection/>
    </xf>
    <xf numFmtId="3" fontId="50" fillId="34" borderId="25" xfId="0" applyNumberFormat="1" applyFont="1" applyFill="1" applyBorder="1" applyAlignment="1" applyProtection="1">
      <alignment vertical="center" wrapText="1"/>
      <protection/>
    </xf>
    <xf numFmtId="0" fontId="0" fillId="0" borderId="63" xfId="0" applyBorder="1" applyAlignment="1" applyProtection="1">
      <alignment vertical="center" wrapText="1"/>
      <protection/>
    </xf>
    <xf numFmtId="3" fontId="52" fillId="34" borderId="41" xfId="0" applyNumberFormat="1" applyFont="1" applyFill="1" applyBorder="1" applyAlignment="1" applyProtection="1">
      <alignment vertical="center" wrapText="1"/>
      <protection/>
    </xf>
    <xf numFmtId="0" fontId="0" fillId="0" borderId="62" xfId="0" applyBorder="1" applyAlignment="1" applyProtection="1">
      <alignment vertical="center" wrapText="1"/>
      <protection/>
    </xf>
    <xf numFmtId="3" fontId="55" fillId="34" borderId="25" xfId="0" applyNumberFormat="1" applyFont="1" applyFill="1" applyBorder="1" applyAlignment="1" applyProtection="1">
      <alignment horizontal="left" vertical="center" wrapText="1"/>
      <protection/>
    </xf>
    <xf numFmtId="3" fontId="25" fillId="34" borderId="25" xfId="0" applyNumberFormat="1" applyFont="1" applyFill="1" applyBorder="1" applyAlignment="1" applyProtection="1">
      <alignment horizontal="left" vertical="center" wrapText="1"/>
      <protection/>
    </xf>
    <xf numFmtId="3" fontId="61" fillId="34" borderId="25" xfId="0" applyNumberFormat="1" applyFont="1" applyFill="1" applyBorder="1" applyAlignment="1" applyProtection="1">
      <alignment horizontal="left" vertical="center" wrapText="1"/>
      <protection/>
    </xf>
    <xf numFmtId="3" fontId="62" fillId="34" borderId="25" xfId="0" applyNumberFormat="1" applyFont="1" applyFill="1" applyBorder="1" applyAlignment="1" applyProtection="1">
      <alignment horizontal="left" vertical="center" wrapText="1"/>
      <protection/>
    </xf>
    <xf numFmtId="3" fontId="58" fillId="0" borderId="25" xfId="0" applyNumberFormat="1" applyFont="1" applyFill="1" applyBorder="1" applyAlignment="1" applyProtection="1">
      <alignment horizontal="left" vertical="center" wrapText="1"/>
      <protection/>
    </xf>
    <xf numFmtId="3" fontId="64" fillId="0" borderId="25" xfId="0" applyNumberFormat="1" applyFont="1" applyFill="1" applyBorder="1" applyAlignment="1" applyProtection="1">
      <alignment horizontal="left" vertical="center" wrapText="1"/>
      <protection/>
    </xf>
    <xf numFmtId="3" fontId="62" fillId="34" borderId="25" xfId="0" applyNumberFormat="1" applyFont="1" applyFill="1" applyBorder="1" applyAlignment="1" applyProtection="1">
      <alignment vertical="center" wrapText="1"/>
      <protection/>
    </xf>
    <xf numFmtId="3" fontId="12" fillId="34" borderId="63" xfId="0" applyNumberFormat="1" applyFont="1" applyFill="1" applyBorder="1" applyAlignment="1" applyProtection="1">
      <alignment horizontal="left" vertical="center" wrapText="1"/>
      <protection/>
    </xf>
    <xf numFmtId="3" fontId="52" fillId="34" borderId="22" xfId="0" applyNumberFormat="1" applyFont="1" applyFill="1" applyBorder="1" applyAlignment="1" applyProtection="1">
      <alignment vertical="center" wrapText="1"/>
      <protection/>
    </xf>
    <xf numFmtId="3" fontId="53" fillId="34" borderId="30" xfId="0" applyNumberFormat="1" applyFont="1" applyFill="1" applyBorder="1" applyAlignment="1" applyProtection="1">
      <alignment horizontal="left" vertical="center" wrapText="1"/>
      <protection/>
    </xf>
    <xf numFmtId="3" fontId="25" fillId="34" borderId="50" xfId="0" applyNumberFormat="1" applyFont="1" applyFill="1" applyBorder="1" applyAlignment="1" applyProtection="1">
      <alignment horizontal="left" vertical="center" wrapText="1"/>
      <protection/>
    </xf>
    <xf numFmtId="3" fontId="25" fillId="34" borderId="59" xfId="0" applyNumberFormat="1" applyFont="1" applyFill="1" applyBorder="1" applyAlignment="1" applyProtection="1">
      <alignment horizontal="left" vertical="center" wrapText="1"/>
      <protection/>
    </xf>
    <xf numFmtId="3" fontId="25" fillId="34" borderId="95" xfId="0" applyNumberFormat="1" applyFont="1" applyFill="1" applyBorder="1" applyAlignment="1" applyProtection="1">
      <alignment horizontal="left" vertical="center" wrapText="1"/>
      <protection/>
    </xf>
    <xf numFmtId="3" fontId="25" fillId="34" borderId="0" xfId="0" applyNumberFormat="1" applyFont="1" applyFill="1" applyBorder="1" applyAlignment="1" applyProtection="1">
      <alignment horizontal="left" vertical="center" wrapText="1"/>
      <protection/>
    </xf>
    <xf numFmtId="0" fontId="0" fillId="0" borderId="0" xfId="0" applyBorder="1" applyAlignment="1" applyProtection="1">
      <alignment vertical="center" wrapText="1"/>
      <protection/>
    </xf>
    <xf numFmtId="3" fontId="63" fillId="34" borderId="25" xfId="0" applyNumberFormat="1" applyFont="1" applyFill="1" applyBorder="1" applyAlignment="1" applyProtection="1">
      <alignment horizontal="left" vertical="center" wrapText="1"/>
      <protection/>
    </xf>
    <xf numFmtId="3" fontId="26" fillId="34" borderId="25" xfId="0" applyNumberFormat="1" applyFont="1" applyFill="1" applyBorder="1" applyAlignment="1" applyProtection="1" quotePrefix="1">
      <alignment horizontal="left" vertical="center" wrapText="1"/>
      <protection/>
    </xf>
    <xf numFmtId="3" fontId="57" fillId="34" borderId="25" xfId="0" applyNumberFormat="1" applyFont="1" applyFill="1" applyBorder="1" applyAlignment="1" applyProtection="1">
      <alignment horizontal="left" vertical="center" wrapText="1"/>
      <protection/>
    </xf>
    <xf numFmtId="3" fontId="64" fillId="34" borderId="25" xfId="0" applyNumberFormat="1" applyFont="1" applyFill="1" applyBorder="1" applyAlignment="1" applyProtection="1">
      <alignment horizontal="left" vertical="center" wrapText="1"/>
      <protection/>
    </xf>
    <xf numFmtId="3" fontId="58" fillId="34" borderId="25" xfId="0" applyNumberFormat="1" applyFont="1" applyFill="1" applyBorder="1" applyAlignment="1" applyProtection="1">
      <alignment horizontal="left" vertical="center" wrapText="1"/>
      <protection/>
    </xf>
    <xf numFmtId="3" fontId="57" fillId="0" borderId="25" xfId="0" applyNumberFormat="1" applyFont="1" applyFill="1" applyBorder="1" applyAlignment="1" applyProtection="1">
      <alignment horizontal="left" vertical="center" wrapText="1"/>
      <protection/>
    </xf>
    <xf numFmtId="3" fontId="52" fillId="34" borderId="81" xfId="0" applyNumberFormat="1" applyFont="1" applyFill="1" applyBorder="1" applyAlignment="1" applyProtection="1">
      <alignment vertical="center" wrapText="1"/>
      <protection/>
    </xf>
    <xf numFmtId="3" fontId="8" fillId="0" borderId="0" xfId="0" applyNumberFormat="1" applyFont="1" applyAlignment="1" applyProtection="1">
      <alignment vertical="center" wrapText="1"/>
      <protection/>
    </xf>
    <xf numFmtId="3" fontId="49" fillId="0" borderId="25" xfId="0" applyNumberFormat="1" applyFont="1" applyFill="1" applyBorder="1" applyAlignment="1" applyProtection="1">
      <alignment horizontal="left" vertical="center"/>
      <protection/>
    </xf>
    <xf numFmtId="3" fontId="21" fillId="0" borderId="25" xfId="0" applyNumberFormat="1" applyFont="1" applyFill="1" applyBorder="1" applyAlignment="1" applyProtection="1">
      <alignment horizontal="center" vertical="center"/>
      <protection/>
    </xf>
    <xf numFmtId="0" fontId="0" fillId="0" borderId="25" xfId="0" applyFill="1" applyBorder="1" applyAlignment="1" applyProtection="1">
      <alignment vertical="center"/>
      <protection/>
    </xf>
    <xf numFmtId="3" fontId="52" fillId="0" borderId="25" xfId="0" applyNumberFormat="1" applyFont="1" applyFill="1" applyBorder="1" applyAlignment="1" applyProtection="1">
      <alignment vertical="center"/>
      <protection/>
    </xf>
    <xf numFmtId="3" fontId="12" fillId="34" borderId="25" xfId="0" applyNumberFormat="1" applyFont="1" applyFill="1" applyBorder="1" applyAlignment="1" applyProtection="1">
      <alignment horizontal="left" vertical="center" wrapText="1"/>
      <protection/>
    </xf>
    <xf numFmtId="0" fontId="0" fillId="0" borderId="25" xfId="0" applyBorder="1" applyAlignment="1" applyProtection="1">
      <alignment vertical="center"/>
      <protection/>
    </xf>
    <xf numFmtId="0" fontId="0" fillId="0" borderId="25" xfId="0" applyBorder="1" applyAlignment="1" applyProtection="1">
      <alignment vertical="center" wrapText="1"/>
      <protection/>
    </xf>
    <xf numFmtId="3" fontId="21" fillId="34" borderId="25" xfId="0" applyNumberFormat="1" applyFont="1" applyFill="1" applyBorder="1" applyAlignment="1" applyProtection="1">
      <alignment horizontal="center" vertical="center"/>
      <protection/>
    </xf>
    <xf numFmtId="3" fontId="52" fillId="34" borderId="25" xfId="0" applyNumberFormat="1" applyFont="1" applyFill="1" applyBorder="1" applyAlignment="1" applyProtection="1">
      <alignment vertical="center"/>
      <protection/>
    </xf>
    <xf numFmtId="3" fontId="49" fillId="0" borderId="24" xfId="0" applyNumberFormat="1" applyFont="1" applyFill="1" applyBorder="1" applyAlignment="1" applyProtection="1">
      <alignment horizontal="left" vertical="center"/>
      <protection/>
    </xf>
    <xf numFmtId="3" fontId="49" fillId="0" borderId="26" xfId="0" applyNumberFormat="1" applyFont="1" applyFill="1" applyBorder="1" applyAlignment="1" applyProtection="1">
      <alignment horizontal="left" vertical="center"/>
      <protection/>
    </xf>
    <xf numFmtId="189" fontId="21" fillId="0" borderId="24" xfId="0" applyNumberFormat="1" applyFont="1" applyFill="1" applyBorder="1" applyAlignment="1" applyProtection="1">
      <alignment horizontal="center" vertical="center"/>
      <protection/>
    </xf>
    <xf numFmtId="3" fontId="2" fillId="0" borderId="26" xfId="0" applyNumberFormat="1" applyFont="1" applyFill="1" applyBorder="1" applyAlignment="1" applyProtection="1">
      <alignment horizontal="center" vertical="center"/>
      <protection/>
    </xf>
    <xf numFmtId="0" fontId="0" fillId="0" borderId="24" xfId="0" applyFill="1" applyBorder="1" applyAlignment="1" applyProtection="1">
      <alignment vertical="center"/>
      <protection/>
    </xf>
    <xf numFmtId="0" fontId="0" fillId="0" borderId="26" xfId="0" applyFill="1" applyBorder="1" applyAlignment="1" applyProtection="1">
      <alignment vertical="center"/>
      <protection/>
    </xf>
    <xf numFmtId="1" fontId="50" fillId="0" borderId="24" xfId="0" applyNumberFormat="1" applyFont="1" applyFill="1" applyBorder="1" applyAlignment="1" applyProtection="1">
      <alignment horizontal="left" vertical="center"/>
      <protection/>
    </xf>
    <xf numFmtId="3" fontId="50" fillId="0" borderId="26" xfId="0" applyNumberFormat="1" applyFont="1" applyFill="1" applyBorder="1" applyAlignment="1" applyProtection="1">
      <alignment horizontal="right" vertical="center"/>
      <protection/>
    </xf>
    <xf numFmtId="1" fontId="52" fillId="0" borderId="24" xfId="0" applyNumberFormat="1" applyFont="1" applyFill="1" applyBorder="1" applyAlignment="1" applyProtection="1">
      <alignment horizontal="center" vertical="center"/>
      <protection/>
    </xf>
    <xf numFmtId="3" fontId="52" fillId="0" borderId="26" xfId="0" applyNumberFormat="1" applyFont="1" applyFill="1" applyBorder="1" applyAlignment="1" applyProtection="1">
      <alignment horizontal="right" vertical="center"/>
      <protection/>
    </xf>
    <xf numFmtId="1" fontId="55" fillId="0" borderId="24" xfId="0" applyNumberFormat="1" applyFont="1" applyFill="1" applyBorder="1" applyAlignment="1" applyProtection="1">
      <alignment horizontal="left" vertical="center"/>
      <protection/>
    </xf>
    <xf numFmtId="3" fontId="56" fillId="0" borderId="26" xfId="0" applyNumberFormat="1" applyFont="1" applyFill="1" applyBorder="1" applyAlignment="1" applyProtection="1">
      <alignment vertical="center"/>
      <protection/>
    </xf>
    <xf numFmtId="1" fontId="25" fillId="0" borderId="24" xfId="0" applyNumberFormat="1" applyFont="1" applyFill="1" applyBorder="1" applyAlignment="1" applyProtection="1">
      <alignment horizontal="left" vertical="center"/>
      <protection/>
    </xf>
    <xf numFmtId="3" fontId="6" fillId="0" borderId="26" xfId="0" applyNumberFormat="1" applyFont="1" applyFill="1" applyBorder="1" applyAlignment="1" applyProtection="1">
      <alignment vertical="center"/>
      <protection/>
    </xf>
    <xf numFmtId="1" fontId="53" fillId="0" borderId="24" xfId="0" applyNumberFormat="1" applyFont="1" applyFill="1" applyBorder="1" applyAlignment="1" applyProtection="1">
      <alignment horizontal="left" vertical="center"/>
      <protection/>
    </xf>
    <xf numFmtId="3" fontId="54" fillId="0" borderId="26" xfId="0" applyNumberFormat="1" applyFont="1" applyFill="1" applyBorder="1" applyAlignment="1" applyProtection="1">
      <alignment vertical="center"/>
      <protection/>
    </xf>
    <xf numFmtId="1" fontId="61" fillId="0" borderId="24" xfId="0" applyNumberFormat="1" applyFont="1" applyFill="1" applyBorder="1" applyAlignment="1" applyProtection="1">
      <alignment horizontal="right" vertical="center"/>
      <protection/>
    </xf>
    <xf numFmtId="1" fontId="62" fillId="0" borderId="24" xfId="0" applyNumberFormat="1" applyFont="1" applyFill="1" applyBorder="1" applyAlignment="1" applyProtection="1">
      <alignment horizontal="right" vertical="center"/>
      <protection/>
    </xf>
    <xf numFmtId="1" fontId="55" fillId="0" borderId="24" xfId="0" applyNumberFormat="1" applyFont="1" applyFill="1" applyBorder="1" applyAlignment="1" applyProtection="1">
      <alignment horizontal="right" vertical="center"/>
      <protection/>
    </xf>
    <xf numFmtId="3" fontId="64" fillId="0" borderId="26" xfId="0" applyNumberFormat="1" applyFont="1" applyFill="1" applyBorder="1" applyAlignment="1" applyProtection="1">
      <alignment vertical="center"/>
      <protection/>
    </xf>
    <xf numFmtId="1" fontId="58" fillId="0" borderId="24" xfId="0" applyNumberFormat="1" applyFont="1" applyFill="1" applyBorder="1" applyAlignment="1" applyProtection="1">
      <alignment horizontal="right" vertical="center"/>
      <protection/>
    </xf>
    <xf numFmtId="3" fontId="58" fillId="0" borderId="26" xfId="0" applyNumberFormat="1" applyFont="1" applyFill="1" applyBorder="1" applyAlignment="1" applyProtection="1">
      <alignment vertical="center"/>
      <protection/>
    </xf>
    <xf numFmtId="1" fontId="64" fillId="0" borderId="24" xfId="0" applyNumberFormat="1" applyFont="1" applyFill="1" applyBorder="1" applyAlignment="1" applyProtection="1">
      <alignment horizontal="right" vertical="center"/>
      <protection/>
    </xf>
    <xf numFmtId="3" fontId="60" fillId="0" borderId="26" xfId="0" applyNumberFormat="1" applyFont="1" applyFill="1" applyBorder="1" applyAlignment="1" applyProtection="1">
      <alignment vertical="center"/>
      <protection/>
    </xf>
    <xf numFmtId="1" fontId="25" fillId="34" borderId="24" xfId="0" applyNumberFormat="1" applyFont="1" applyFill="1" applyBorder="1" applyAlignment="1" applyProtection="1">
      <alignment horizontal="left" vertical="center"/>
      <protection/>
    </xf>
    <xf numFmtId="3" fontId="6" fillId="34" borderId="26" xfId="0" applyNumberFormat="1" applyFont="1" applyFill="1" applyBorder="1" applyAlignment="1" applyProtection="1">
      <alignment vertical="center"/>
      <protection/>
    </xf>
    <xf numFmtId="1" fontId="53" fillId="34" borderId="24" xfId="0" applyNumberFormat="1" applyFont="1" applyFill="1" applyBorder="1" applyAlignment="1" applyProtection="1">
      <alignment horizontal="left" vertical="center"/>
      <protection/>
    </xf>
    <xf numFmtId="1" fontId="62" fillId="34" borderId="24" xfId="0" applyNumberFormat="1" applyFont="1" applyFill="1" applyBorder="1" applyAlignment="1" applyProtection="1">
      <alignment horizontal="right" vertical="center"/>
      <protection/>
    </xf>
    <xf numFmtId="189" fontId="12" fillId="34" borderId="24" xfId="0" applyNumberFormat="1" applyFont="1" applyFill="1" applyBorder="1" applyAlignment="1" applyProtection="1">
      <alignment horizontal="left" vertical="center"/>
      <protection/>
    </xf>
    <xf numFmtId="1" fontId="52" fillId="34" borderId="24" xfId="0" applyNumberFormat="1" applyFont="1" applyFill="1" applyBorder="1" applyAlignment="1" applyProtection="1">
      <alignment horizontal="center" vertical="center"/>
      <protection/>
    </xf>
    <xf numFmtId="3" fontId="52" fillId="34" borderId="26" xfId="0" applyNumberFormat="1" applyFont="1" applyFill="1" applyBorder="1" applyAlignment="1" applyProtection="1">
      <alignment horizontal="right" vertical="center"/>
      <protection/>
    </xf>
    <xf numFmtId="0" fontId="0" fillId="0" borderId="24" xfId="0" applyBorder="1" applyAlignment="1" applyProtection="1">
      <alignment vertical="center"/>
      <protection/>
    </xf>
    <xf numFmtId="0" fontId="0" fillId="0" borderId="26" xfId="0" applyBorder="1" applyAlignment="1" applyProtection="1">
      <alignment vertical="center"/>
      <protection/>
    </xf>
    <xf numFmtId="1" fontId="53" fillId="34" borderId="24" xfId="0" applyNumberFormat="1" applyFont="1" applyFill="1" applyBorder="1" applyAlignment="1" applyProtection="1">
      <alignment horizontal="center" vertical="center"/>
      <protection/>
    </xf>
    <xf numFmtId="1" fontId="62" fillId="34" borderId="24" xfId="0" applyNumberFormat="1" applyFont="1" applyFill="1" applyBorder="1" applyAlignment="1" applyProtection="1">
      <alignment horizontal="center" vertical="center"/>
      <protection/>
    </xf>
    <xf numFmtId="1" fontId="61" fillId="34" borderId="24" xfId="0" applyNumberFormat="1" applyFont="1" applyFill="1" applyBorder="1" applyAlignment="1" applyProtection="1">
      <alignment horizontal="right" vertical="center"/>
      <protection/>
    </xf>
    <xf numFmtId="3" fontId="11" fillId="34" borderId="26" xfId="0" applyNumberFormat="1" applyFont="1" applyFill="1" applyBorder="1" applyAlignment="1" applyProtection="1">
      <alignment vertical="center"/>
      <protection/>
    </xf>
    <xf numFmtId="189" fontId="22" fillId="34" borderId="24" xfId="0" applyNumberFormat="1" applyFont="1" applyFill="1" applyBorder="1" applyAlignment="1" applyProtection="1" quotePrefix="1">
      <alignment horizontal="left" vertical="center"/>
      <protection/>
    </xf>
    <xf numFmtId="3" fontId="40" fillId="34" borderId="26" xfId="0" applyNumberFormat="1" applyFont="1" applyFill="1" applyBorder="1" applyAlignment="1" applyProtection="1">
      <alignment vertical="center"/>
      <protection/>
    </xf>
    <xf numFmtId="196" fontId="22" fillId="34" borderId="24" xfId="0" applyNumberFormat="1" applyFont="1" applyFill="1" applyBorder="1" applyAlignment="1" applyProtection="1">
      <alignment horizontal="left" vertical="center"/>
      <protection/>
    </xf>
    <xf numFmtId="3" fontId="48" fillId="0" borderId="26" xfId="0" applyNumberFormat="1" applyFont="1" applyBorder="1" applyAlignment="1" applyProtection="1">
      <alignment horizontal="center" vertical="center"/>
      <protection/>
    </xf>
    <xf numFmtId="189" fontId="21" fillId="34" borderId="24" xfId="0" applyNumberFormat="1" applyFont="1" applyFill="1" applyBorder="1" applyAlignment="1" applyProtection="1">
      <alignment horizontal="center" vertical="center"/>
      <protection/>
    </xf>
    <xf numFmtId="3" fontId="2" fillId="34" borderId="26" xfId="0" applyNumberFormat="1" applyFont="1" applyFill="1" applyBorder="1" applyAlignment="1" applyProtection="1">
      <alignment horizontal="center" vertical="center"/>
      <protection/>
    </xf>
    <xf numFmtId="1" fontId="50" fillId="34" borderId="24" xfId="0" applyNumberFormat="1" applyFont="1" applyFill="1" applyBorder="1" applyAlignment="1" applyProtection="1">
      <alignment horizontal="left" vertical="center"/>
      <protection/>
    </xf>
    <xf numFmtId="3" fontId="50" fillId="34" borderId="26" xfId="0" applyNumberFormat="1" applyFont="1" applyFill="1" applyBorder="1" applyAlignment="1" applyProtection="1">
      <alignment horizontal="right" vertical="center"/>
      <protection/>
    </xf>
    <xf numFmtId="1" fontId="63" fillId="34" borderId="24" xfId="0" applyNumberFormat="1" applyFont="1" applyFill="1" applyBorder="1" applyAlignment="1" applyProtection="1">
      <alignment horizontal="left" vertical="center"/>
      <protection/>
    </xf>
    <xf numFmtId="189" fontId="26" fillId="34" borderId="24" xfId="0" applyNumberFormat="1" applyFont="1" applyFill="1" applyBorder="1" applyAlignment="1" applyProtection="1">
      <alignment horizontal="left" vertical="center"/>
      <protection/>
    </xf>
    <xf numFmtId="3" fontId="65" fillId="34" borderId="26" xfId="0" applyNumberFormat="1" applyFont="1" applyFill="1" applyBorder="1" applyAlignment="1" applyProtection="1">
      <alignment vertical="center"/>
      <protection/>
    </xf>
    <xf numFmtId="189" fontId="55" fillId="34" borderId="24" xfId="0" applyNumberFormat="1" applyFont="1" applyFill="1" applyBorder="1" applyAlignment="1" applyProtection="1">
      <alignment horizontal="left" vertical="center"/>
      <protection/>
    </xf>
    <xf numFmtId="3" fontId="64" fillId="34" borderId="26" xfId="0" applyNumberFormat="1" applyFont="1" applyFill="1" applyBorder="1" applyAlignment="1" applyProtection="1">
      <alignment horizontal="right" vertical="center"/>
      <protection/>
    </xf>
    <xf numFmtId="3" fontId="64" fillId="34" borderId="26" xfId="0" applyNumberFormat="1" applyFont="1" applyFill="1" applyBorder="1" applyAlignment="1" applyProtection="1">
      <alignment vertical="center"/>
      <protection/>
    </xf>
    <xf numFmtId="189" fontId="57" fillId="34" borderId="24" xfId="0" applyNumberFormat="1" applyFont="1" applyFill="1" applyBorder="1" applyAlignment="1" applyProtection="1">
      <alignment horizontal="left" vertical="center" indent="1"/>
      <protection/>
    </xf>
    <xf numFmtId="3" fontId="58" fillId="34" borderId="26" xfId="0" applyNumberFormat="1" applyFont="1" applyFill="1" applyBorder="1" applyAlignment="1" applyProtection="1">
      <alignment horizontal="right" vertical="center"/>
      <protection/>
    </xf>
    <xf numFmtId="189" fontId="62" fillId="34" borderId="24" xfId="0" applyNumberFormat="1" applyFont="1" applyFill="1" applyBorder="1" applyAlignment="1" applyProtection="1">
      <alignment horizontal="left" vertical="center"/>
      <protection/>
    </xf>
    <xf numFmtId="3" fontId="64" fillId="0" borderId="26" xfId="0" applyNumberFormat="1" applyFont="1" applyFill="1" applyBorder="1" applyAlignment="1" applyProtection="1">
      <alignment horizontal="right" vertical="center"/>
      <protection/>
    </xf>
    <xf numFmtId="1" fontId="80" fillId="34" borderId="24" xfId="0" applyNumberFormat="1" applyFont="1" applyFill="1" applyBorder="1" applyAlignment="1" applyProtection="1">
      <alignment horizontal="center" vertical="center"/>
      <protection/>
    </xf>
    <xf numFmtId="3" fontId="80" fillId="34" borderId="25" xfId="0" applyNumberFormat="1" applyFont="1" applyFill="1" applyBorder="1" applyAlignment="1" applyProtection="1">
      <alignment vertical="center" wrapText="1"/>
      <protection/>
    </xf>
    <xf numFmtId="3" fontId="8" fillId="0" borderId="25" xfId="0" applyNumberFormat="1" applyFont="1" applyFill="1" applyBorder="1" applyAlignment="1" applyProtection="1">
      <alignment vertical="center"/>
      <protection/>
    </xf>
    <xf numFmtId="3" fontId="40" fillId="0" borderId="38" xfId="0" applyNumberFormat="1" applyFont="1" applyBorder="1" applyAlignment="1" applyProtection="1">
      <alignment horizontal="center" vertical="center"/>
      <protection/>
    </xf>
    <xf numFmtId="189" fontId="8" fillId="0" borderId="24" xfId="0" applyNumberFormat="1" applyFont="1" applyFill="1" applyBorder="1" applyAlignment="1" applyProtection="1">
      <alignment horizontal="left" vertical="center"/>
      <protection/>
    </xf>
    <xf numFmtId="3" fontId="8" fillId="0" borderId="26" xfId="0" applyNumberFormat="1" applyFont="1" applyFill="1" applyBorder="1" applyAlignment="1" applyProtection="1">
      <alignment vertical="center"/>
      <protection/>
    </xf>
    <xf numFmtId="189" fontId="22" fillId="0" borderId="24" xfId="0" applyNumberFormat="1" applyFont="1" applyFill="1" applyBorder="1" applyAlignment="1" applyProtection="1" quotePrefix="1">
      <alignment horizontal="left" vertical="center"/>
      <protection/>
    </xf>
    <xf numFmtId="3" fontId="40" fillId="0" borderId="26" xfId="0" applyNumberFormat="1" applyFont="1" applyFill="1" applyBorder="1" applyAlignment="1" applyProtection="1">
      <alignment vertical="center"/>
      <protection/>
    </xf>
    <xf numFmtId="197" fontId="22" fillId="0" borderId="24" xfId="0" applyNumberFormat="1" applyFont="1" applyFill="1" applyBorder="1" applyAlignment="1" applyProtection="1">
      <alignment horizontal="left" vertical="center"/>
      <protection/>
    </xf>
    <xf numFmtId="189" fontId="22" fillId="0" borderId="32" xfId="0" applyNumberFormat="1" applyFont="1" applyFill="1" applyBorder="1" applyAlignment="1" applyProtection="1" quotePrefix="1">
      <alignment horizontal="left" vertical="center"/>
      <protection/>
    </xf>
    <xf numFmtId="3" fontId="25" fillId="0" borderId="27" xfId="0" applyNumberFormat="1" applyFont="1" applyFill="1" applyBorder="1" applyAlignment="1" applyProtection="1">
      <alignment horizontal="left" vertical="center"/>
      <protection/>
    </xf>
    <xf numFmtId="3" fontId="40" fillId="0" borderId="28" xfId="0" applyNumberFormat="1" applyFont="1" applyFill="1" applyBorder="1" applyAlignment="1" applyProtection="1">
      <alignment vertical="center"/>
      <protection/>
    </xf>
    <xf numFmtId="3" fontId="40" fillId="0" borderId="38" xfId="0" applyNumberFormat="1" applyFont="1" applyFill="1" applyBorder="1" applyAlignment="1" applyProtection="1">
      <alignment horizontal="center" vertical="center"/>
      <protection/>
    </xf>
    <xf numFmtId="3" fontId="48" fillId="0" borderId="26" xfId="0" applyNumberFormat="1" applyFont="1" applyFill="1" applyBorder="1" applyAlignment="1" applyProtection="1">
      <alignment horizontal="center" vertical="center"/>
      <protection/>
    </xf>
    <xf numFmtId="189" fontId="22" fillId="34" borderId="32" xfId="0" applyNumberFormat="1" applyFont="1" applyFill="1" applyBorder="1" applyAlignment="1" applyProtection="1" quotePrefix="1">
      <alignment horizontal="left" vertical="center"/>
      <protection/>
    </xf>
    <xf numFmtId="3" fontId="25" fillId="34" borderId="27" xfId="0" applyNumberFormat="1" applyFont="1" applyFill="1" applyBorder="1" applyAlignment="1" applyProtection="1">
      <alignment horizontal="left" vertical="center" wrapText="1"/>
      <protection/>
    </xf>
    <xf numFmtId="3" fontId="40" fillId="34" borderId="28" xfId="0" applyNumberFormat="1" applyFont="1" applyFill="1" applyBorder="1" applyAlignment="1" applyProtection="1">
      <alignment vertical="center"/>
      <protection/>
    </xf>
    <xf numFmtId="193" fontId="35" fillId="33" borderId="26" xfId="56" applyNumberFormat="1" applyFont="1" applyFill="1" applyBorder="1" applyAlignment="1" applyProtection="1">
      <alignment horizontal="right" vertical="center"/>
      <protection hidden="1"/>
    </xf>
    <xf numFmtId="0" fontId="2" fillId="0" borderId="48" xfId="0" applyFont="1" applyBorder="1" applyAlignment="1" applyProtection="1">
      <alignment/>
      <protection/>
    </xf>
    <xf numFmtId="0" fontId="13" fillId="0" borderId="52" xfId="0" applyFont="1" applyBorder="1" applyAlignment="1" applyProtection="1">
      <alignment/>
      <protection/>
    </xf>
    <xf numFmtId="188" fontId="0" fillId="0" borderId="52" xfId="50" applyNumberFormat="1" applyFont="1" applyBorder="1" applyAlignment="1" applyProtection="1">
      <alignment/>
      <protection/>
    </xf>
    <xf numFmtId="10" fontId="0" fillId="0" borderId="52" xfId="56" applyNumberFormat="1" applyFont="1" applyBorder="1" applyAlignment="1" applyProtection="1">
      <alignment/>
      <protection/>
    </xf>
    <xf numFmtId="188" fontId="0" fillId="0" borderId="49" xfId="50" applyNumberFormat="1" applyFont="1" applyBorder="1" applyAlignment="1" applyProtection="1">
      <alignment/>
      <protection/>
    </xf>
    <xf numFmtId="0" fontId="5" fillId="0" borderId="63" xfId="0" applyFont="1" applyBorder="1" applyAlignment="1" applyProtection="1">
      <alignment vertical="center" wrapText="1"/>
      <protection/>
    </xf>
    <xf numFmtId="0" fontId="5" fillId="0" borderId="51" xfId="0" applyFont="1" applyBorder="1" applyAlignment="1" applyProtection="1">
      <alignment vertical="center" wrapText="1"/>
      <protection/>
    </xf>
    <xf numFmtId="0" fontId="82" fillId="0" borderId="20" xfId="0" applyFont="1" applyBorder="1" applyAlignment="1" applyProtection="1">
      <alignment/>
      <protection/>
    </xf>
    <xf numFmtId="0" fontId="80" fillId="0" borderId="56" xfId="0" applyFont="1" applyBorder="1" applyAlignment="1" applyProtection="1">
      <alignment/>
      <protection/>
    </xf>
    <xf numFmtId="0" fontId="5" fillId="0" borderId="11" xfId="0" applyFont="1" applyBorder="1" applyAlignment="1" applyProtection="1">
      <alignment horizontal="left" vertical="center" wrapText="1"/>
      <protection/>
    </xf>
    <xf numFmtId="0" fontId="5" fillId="0" borderId="0" xfId="0" applyFont="1" applyBorder="1" applyAlignment="1" applyProtection="1">
      <alignment horizontal="left" vertical="center" wrapText="1"/>
      <protection/>
    </xf>
    <xf numFmtId="0" fontId="5" fillId="0" borderId="10" xfId="0" applyFont="1" applyBorder="1" applyAlignment="1" applyProtection="1">
      <alignment horizontal="left" vertical="center" wrapText="1"/>
      <protection/>
    </xf>
    <xf numFmtId="0" fontId="0" fillId="0" borderId="0" xfId="0" applyFont="1" applyBorder="1" applyAlignment="1" applyProtection="1">
      <alignment horizontal="left"/>
      <protection locked="0"/>
    </xf>
    <xf numFmtId="0" fontId="0" fillId="0" borderId="50" xfId="0" applyNumberFormat="1" applyBorder="1" applyAlignment="1" applyProtection="1">
      <alignment/>
      <protection locked="0"/>
    </xf>
    <xf numFmtId="0" fontId="3" fillId="0" borderId="63" xfId="0" applyNumberFormat="1" applyFont="1" applyBorder="1" applyAlignment="1" applyProtection="1">
      <alignment/>
      <protection locked="0"/>
    </xf>
    <xf numFmtId="0" fontId="0" fillId="0" borderId="63" xfId="0" applyNumberFormat="1" applyBorder="1" applyAlignment="1" applyProtection="1">
      <alignment/>
      <protection locked="0"/>
    </xf>
    <xf numFmtId="0" fontId="0" fillId="0" borderId="51" xfId="0" applyNumberFormat="1" applyBorder="1" applyAlignment="1" applyProtection="1">
      <alignment/>
      <protection locked="0"/>
    </xf>
    <xf numFmtId="3" fontId="35" fillId="33" borderId="15" xfId="0" applyNumberFormat="1" applyFont="1" applyFill="1" applyBorder="1" applyAlignment="1" applyProtection="1">
      <alignment horizontal="right" vertical="center"/>
      <protection locked="0"/>
    </xf>
    <xf numFmtId="3" fontId="8" fillId="0" borderId="25" xfId="0" applyNumberFormat="1" applyFont="1" applyBorder="1" applyAlignment="1" applyProtection="1">
      <alignment horizontal="center" vertical="center" wrapText="1"/>
      <protection/>
    </xf>
    <xf numFmtId="3" fontId="8" fillId="0" borderId="25" xfId="0" applyNumberFormat="1" applyFont="1" applyBorder="1" applyAlignment="1" applyProtection="1">
      <alignment horizontal="center" vertical="center" textRotation="90" wrapText="1"/>
      <protection/>
    </xf>
    <xf numFmtId="3" fontId="8" fillId="0" borderId="25" xfId="0" applyNumberFormat="1" applyFont="1" applyFill="1" applyBorder="1" applyAlignment="1" applyProtection="1">
      <alignment horizontal="center" vertical="center" wrapText="1"/>
      <protection/>
    </xf>
    <xf numFmtId="3" fontId="3" fillId="0" borderId="25" xfId="0" applyNumberFormat="1" applyFont="1" applyFill="1" applyBorder="1" applyAlignment="1" applyProtection="1">
      <alignment/>
      <protection/>
    </xf>
    <xf numFmtId="3" fontId="8" fillId="0" borderId="24" xfId="0" applyNumberFormat="1" applyFont="1" applyBorder="1" applyAlignment="1" applyProtection="1">
      <alignment horizontal="center" vertical="center" wrapText="1"/>
      <protection/>
    </xf>
    <xf numFmtId="3" fontId="8" fillId="0" borderId="26" xfId="0" applyNumberFormat="1" applyFont="1" applyBorder="1" applyAlignment="1" applyProtection="1">
      <alignment horizontal="center" vertical="center" wrapText="1"/>
      <protection/>
    </xf>
    <xf numFmtId="3" fontId="3" fillId="0" borderId="26" xfId="0" applyNumberFormat="1" applyFont="1" applyFill="1" applyBorder="1" applyAlignment="1" applyProtection="1">
      <alignment/>
      <protection/>
    </xf>
    <xf numFmtId="3" fontId="2" fillId="0" borderId="27" xfId="0" applyNumberFormat="1" applyFont="1" applyBorder="1" applyAlignment="1" applyProtection="1">
      <alignment/>
      <protection/>
    </xf>
    <xf numFmtId="3" fontId="2" fillId="0" borderId="28" xfId="0" applyNumberFormat="1" applyFont="1" applyBorder="1" applyAlignment="1" applyProtection="1">
      <alignment/>
      <protection/>
    </xf>
    <xf numFmtId="0" fontId="0" fillId="33" borderId="21" xfId="0" applyFont="1" applyFill="1" applyBorder="1" applyAlignment="1" applyProtection="1">
      <alignment/>
      <protection locked="0"/>
    </xf>
    <xf numFmtId="3" fontId="3" fillId="33" borderId="34" xfId="0" applyNumberFormat="1" applyFont="1" applyFill="1" applyBorder="1" applyAlignment="1" applyProtection="1">
      <alignment/>
      <protection locked="0"/>
    </xf>
    <xf numFmtId="3" fontId="3" fillId="33" borderId="38" xfId="0" applyNumberFormat="1" applyFont="1" applyFill="1" applyBorder="1" applyAlignment="1" applyProtection="1">
      <alignment/>
      <protection locked="0"/>
    </xf>
    <xf numFmtId="195" fontId="0" fillId="33" borderId="25" xfId="0" applyNumberFormat="1" applyFont="1" applyFill="1" applyBorder="1" applyAlignment="1" applyProtection="1">
      <alignment horizontal="center"/>
      <protection locked="0"/>
    </xf>
    <xf numFmtId="3" fontId="3" fillId="33" borderId="26" xfId="0" applyNumberFormat="1" applyFont="1" applyFill="1" applyBorder="1" applyAlignment="1" applyProtection="1">
      <alignment/>
      <protection locked="0"/>
    </xf>
    <xf numFmtId="3" fontId="13" fillId="33" borderId="24" xfId="0" applyNumberFormat="1" applyFont="1" applyFill="1" applyBorder="1" applyAlignment="1" applyProtection="1">
      <alignment/>
      <protection locked="0"/>
    </xf>
    <xf numFmtId="0" fontId="42" fillId="38" borderId="11" xfId="0" applyFont="1" applyFill="1" applyBorder="1" applyAlignment="1">
      <alignment vertical="center"/>
    </xf>
    <xf numFmtId="4" fontId="42" fillId="33" borderId="55" xfId="50" applyNumberFormat="1" applyFont="1" applyFill="1" applyBorder="1" applyAlignment="1" applyProtection="1">
      <alignment horizontal="center"/>
      <protection locked="0"/>
    </xf>
    <xf numFmtId="195" fontId="2" fillId="33" borderId="25" xfId="0" applyNumberFormat="1" applyFont="1" applyFill="1" applyBorder="1" applyAlignment="1" applyProtection="1">
      <alignment horizontal="center"/>
      <protection locked="0"/>
    </xf>
    <xf numFmtId="169" fontId="0" fillId="0" borderId="0" xfId="51" applyFont="1" applyAlignment="1" applyProtection="1">
      <alignment vertical="center"/>
      <protection/>
    </xf>
    <xf numFmtId="169" fontId="0" fillId="0" borderId="0" xfId="51" applyFont="1" applyAlignment="1">
      <alignment/>
    </xf>
    <xf numFmtId="169" fontId="0" fillId="0" borderId="0" xfId="0" applyNumberFormat="1" applyAlignment="1">
      <alignment/>
    </xf>
    <xf numFmtId="0" fontId="0" fillId="0" borderId="24" xfId="0" applyFont="1" applyFill="1" applyBorder="1" applyAlignment="1" applyProtection="1">
      <alignment/>
      <protection/>
    </xf>
    <xf numFmtId="0" fontId="0" fillId="0" borderId="25" xfId="0" applyFont="1" applyFill="1" applyBorder="1" applyAlignment="1" applyProtection="1">
      <alignment/>
      <protection/>
    </xf>
    <xf numFmtId="0" fontId="0" fillId="0" borderId="26" xfId="0" applyFont="1" applyFill="1" applyBorder="1" applyAlignment="1" applyProtection="1">
      <alignment/>
      <protection/>
    </xf>
    <xf numFmtId="189" fontId="55" fillId="0" borderId="72" xfId="0" applyNumberFormat="1" applyFont="1" applyFill="1" applyBorder="1" applyAlignment="1" applyProtection="1">
      <alignment horizontal="left" vertical="center"/>
      <protection/>
    </xf>
    <xf numFmtId="3" fontId="55" fillId="0" borderId="25" xfId="0" applyNumberFormat="1" applyFont="1" applyFill="1" applyBorder="1" applyAlignment="1" applyProtection="1">
      <alignment horizontal="left" vertical="center" wrapText="1"/>
      <protection/>
    </xf>
    <xf numFmtId="0" fontId="0" fillId="0" borderId="0" xfId="0" applyFill="1" applyAlignment="1">
      <alignment/>
    </xf>
    <xf numFmtId="189" fontId="57" fillId="0" borderId="72" xfId="0" applyNumberFormat="1" applyFont="1" applyFill="1" applyBorder="1" applyAlignment="1" applyProtection="1">
      <alignment horizontal="left" vertical="center" indent="1"/>
      <protection/>
    </xf>
    <xf numFmtId="3" fontId="58" fillId="0" borderId="73" xfId="0" applyNumberFormat="1" applyFont="1" applyFill="1" applyBorder="1" applyAlignment="1" applyProtection="1">
      <alignment horizontal="right" vertical="center"/>
      <protection/>
    </xf>
    <xf numFmtId="3" fontId="59" fillId="0" borderId="73" xfId="0" applyNumberFormat="1" applyFont="1" applyFill="1" applyBorder="1" applyAlignment="1" applyProtection="1">
      <alignment horizontal="right" vertical="center"/>
      <protection locked="0"/>
    </xf>
    <xf numFmtId="189" fontId="26" fillId="0" borderId="72" xfId="0" applyNumberFormat="1" applyFont="1" applyFill="1" applyBorder="1" applyAlignment="1" applyProtection="1">
      <alignment horizontal="left" vertical="center"/>
      <protection/>
    </xf>
    <xf numFmtId="3" fontId="26" fillId="0" borderId="25" xfId="0" applyNumberFormat="1" applyFont="1" applyFill="1" applyBorder="1" applyAlignment="1" applyProtection="1" quotePrefix="1">
      <alignment horizontal="left" vertical="center" wrapText="1"/>
      <protection/>
    </xf>
    <xf numFmtId="3" fontId="65" fillId="0" borderId="73" xfId="0" applyNumberFormat="1" applyFont="1" applyFill="1" applyBorder="1" applyAlignment="1" applyProtection="1">
      <alignment vertical="center"/>
      <protection/>
    </xf>
    <xf numFmtId="0" fontId="27" fillId="0" borderId="0" xfId="0" applyFont="1" applyFill="1" applyAlignment="1">
      <alignment/>
    </xf>
    <xf numFmtId="0" fontId="132" fillId="0" borderId="0" xfId="0" applyFont="1" applyFill="1" applyAlignment="1">
      <alignment/>
    </xf>
    <xf numFmtId="0" fontId="132" fillId="0" borderId="0" xfId="0" applyFont="1" applyAlignment="1">
      <alignment/>
    </xf>
    <xf numFmtId="3" fontId="132" fillId="0" borderId="0" xfId="0" applyNumberFormat="1" applyFont="1" applyAlignment="1">
      <alignment/>
    </xf>
    <xf numFmtId="169" fontId="132" fillId="0" borderId="0" xfId="51" applyFont="1" applyAlignment="1">
      <alignment/>
    </xf>
    <xf numFmtId="3" fontId="132" fillId="0" borderId="0" xfId="0" applyNumberFormat="1" applyFont="1" applyFill="1" applyAlignment="1">
      <alignment/>
    </xf>
    <xf numFmtId="169" fontId="132" fillId="0" borderId="0" xfId="0" applyNumberFormat="1" applyFont="1" applyAlignment="1">
      <alignment/>
    </xf>
    <xf numFmtId="169" fontId="132" fillId="0" borderId="0" xfId="51" applyFont="1" applyFill="1" applyAlignment="1">
      <alignment/>
    </xf>
    <xf numFmtId="169" fontId="132" fillId="0" borderId="0" xfId="0" applyNumberFormat="1" applyFont="1" applyFill="1" applyAlignment="1">
      <alignment/>
    </xf>
    <xf numFmtId="3" fontId="133" fillId="0" borderId="0" xfId="0" applyNumberFormat="1" applyFont="1" applyAlignment="1" applyProtection="1">
      <alignment vertical="center"/>
      <protection/>
    </xf>
    <xf numFmtId="3" fontId="134" fillId="0" borderId="73" xfId="0" applyNumberFormat="1" applyFont="1" applyFill="1" applyBorder="1" applyAlignment="1" applyProtection="1">
      <alignment vertical="center"/>
      <protection/>
    </xf>
    <xf numFmtId="0" fontId="132" fillId="0" borderId="0" xfId="0" applyFont="1" applyAlignment="1" applyProtection="1">
      <alignment vertical="center"/>
      <protection/>
    </xf>
    <xf numFmtId="3" fontId="133" fillId="0" borderId="0" xfId="0" applyNumberFormat="1" applyFont="1" applyFill="1" applyAlignment="1" applyProtection="1">
      <alignment vertical="center"/>
      <protection/>
    </xf>
    <xf numFmtId="3" fontId="135" fillId="0" borderId="0" xfId="0" applyNumberFormat="1" applyFont="1" applyFill="1" applyAlignment="1" applyProtection="1">
      <alignment vertical="center"/>
      <protection/>
    </xf>
    <xf numFmtId="3" fontId="136" fillId="0" borderId="0" xfId="0" applyNumberFormat="1" applyFont="1" applyFill="1" applyAlignment="1" applyProtection="1">
      <alignment vertical="center"/>
      <protection/>
    </xf>
    <xf numFmtId="3" fontId="137" fillId="0" borderId="0" xfId="0" applyNumberFormat="1" applyFont="1" applyFill="1" applyAlignment="1" applyProtection="1">
      <alignment vertical="center"/>
      <protection/>
    </xf>
    <xf numFmtId="3" fontId="138" fillId="0" borderId="0" xfId="0" applyNumberFormat="1" applyFont="1" applyFill="1" applyAlignment="1" applyProtection="1">
      <alignment vertical="center"/>
      <protection/>
    </xf>
    <xf numFmtId="3" fontId="135" fillId="0" borderId="0" xfId="0" applyNumberFormat="1" applyFont="1" applyAlignment="1" applyProtection="1">
      <alignment vertical="center"/>
      <protection/>
    </xf>
    <xf numFmtId="3" fontId="138" fillId="0" borderId="0" xfId="0" applyNumberFormat="1" applyFont="1" applyAlignment="1" applyProtection="1">
      <alignment vertical="center"/>
      <protection/>
    </xf>
    <xf numFmtId="3" fontId="139" fillId="0" borderId="0" xfId="0" applyNumberFormat="1" applyFont="1" applyFill="1" applyAlignment="1" applyProtection="1">
      <alignment vertical="center"/>
      <protection/>
    </xf>
    <xf numFmtId="3" fontId="113" fillId="0" borderId="0" xfId="0" applyNumberFormat="1" applyFont="1" applyAlignment="1">
      <alignment/>
    </xf>
    <xf numFmtId="0" fontId="42" fillId="15" borderId="25" xfId="0" applyFont="1" applyFill="1" applyBorder="1" applyAlignment="1">
      <alignment horizontal="justify" vertical="top" wrapText="1"/>
    </xf>
    <xf numFmtId="0" fontId="42" fillId="13" borderId="25" xfId="0" applyFont="1" applyFill="1" applyBorder="1" applyAlignment="1">
      <alignment horizontal="justify" vertical="top" wrapText="1"/>
    </xf>
    <xf numFmtId="0" fontId="42" fillId="39" borderId="25" xfId="0" applyFont="1" applyFill="1" applyBorder="1" applyAlignment="1">
      <alignment horizontal="justify" vertical="top" wrapText="1"/>
    </xf>
    <xf numFmtId="0" fontId="42" fillId="5" borderId="96" xfId="0" applyFont="1" applyFill="1" applyBorder="1" applyAlignment="1">
      <alignment horizontal="justify" vertical="top" wrapText="1"/>
    </xf>
    <xf numFmtId="0" fontId="42" fillId="5" borderId="97" xfId="0" applyFont="1" applyFill="1" applyBorder="1" applyAlignment="1">
      <alignment horizontal="justify" vertical="top" wrapText="1"/>
    </xf>
    <xf numFmtId="0" fontId="42" fillId="5" borderId="98" xfId="0" applyFont="1" applyFill="1" applyBorder="1" applyAlignment="1">
      <alignment horizontal="justify" vertical="top" wrapText="1"/>
    </xf>
    <xf numFmtId="0" fontId="42" fillId="5" borderId="99" xfId="0" applyFont="1" applyFill="1" applyBorder="1" applyAlignment="1">
      <alignment horizontal="justify" vertical="top" wrapText="1"/>
    </xf>
    <xf numFmtId="0" fontId="42" fillId="5" borderId="62" xfId="0" applyFont="1" applyFill="1" applyBorder="1" applyAlignment="1">
      <alignment horizontal="justify" vertical="top" wrapText="1"/>
    </xf>
    <xf numFmtId="0" fontId="42" fillId="5" borderId="12" xfId="0" applyFont="1" applyFill="1" applyBorder="1" applyAlignment="1">
      <alignment horizontal="justify" vertical="top" wrapText="1"/>
    </xf>
    <xf numFmtId="0" fontId="65" fillId="0" borderId="0" xfId="0" applyFont="1" applyAlignment="1">
      <alignment horizontal="center"/>
    </xf>
    <xf numFmtId="0" fontId="42" fillId="40" borderId="96" xfId="0" applyFont="1" applyFill="1" applyBorder="1" applyAlignment="1">
      <alignment horizontal="justify" vertical="top" wrapText="1"/>
    </xf>
    <xf numFmtId="0" fontId="42" fillId="40" borderId="97" xfId="0" applyFont="1" applyFill="1" applyBorder="1" applyAlignment="1">
      <alignment horizontal="justify" vertical="top" wrapText="1"/>
    </xf>
    <xf numFmtId="0" fontId="42" fillId="40" borderId="98" xfId="0" applyFont="1" applyFill="1" applyBorder="1" applyAlignment="1">
      <alignment horizontal="justify" vertical="top" wrapText="1"/>
    </xf>
    <xf numFmtId="0" fontId="42" fillId="40" borderId="99" xfId="0" applyFont="1" applyFill="1" applyBorder="1" applyAlignment="1">
      <alignment horizontal="justify" vertical="top" wrapText="1"/>
    </xf>
    <xf numFmtId="0" fontId="42" fillId="40" borderId="62" xfId="0" applyFont="1" applyFill="1" applyBorder="1" applyAlignment="1">
      <alignment horizontal="justify" vertical="top" wrapText="1"/>
    </xf>
    <xf numFmtId="0" fontId="42" fillId="40" borderId="12" xfId="0" applyFont="1" applyFill="1" applyBorder="1" applyAlignment="1">
      <alignment horizontal="justify" vertical="top" wrapText="1"/>
    </xf>
    <xf numFmtId="0" fontId="42" fillId="10" borderId="96" xfId="0" applyFont="1" applyFill="1" applyBorder="1" applyAlignment="1">
      <alignment horizontal="justify" vertical="top" wrapText="1"/>
    </xf>
    <xf numFmtId="0" fontId="42" fillId="10" borderId="97" xfId="0" applyFont="1" applyFill="1" applyBorder="1" applyAlignment="1">
      <alignment horizontal="justify" vertical="top" wrapText="1"/>
    </xf>
    <xf numFmtId="0" fontId="42" fillId="10" borderId="98" xfId="0" applyFont="1" applyFill="1" applyBorder="1" applyAlignment="1">
      <alignment horizontal="justify" vertical="top" wrapText="1"/>
    </xf>
    <xf numFmtId="0" fontId="42" fillId="10" borderId="99" xfId="0" applyFont="1" applyFill="1" applyBorder="1" applyAlignment="1">
      <alignment horizontal="justify" vertical="top" wrapText="1"/>
    </xf>
    <xf numFmtId="0" fontId="42" fillId="10" borderId="62" xfId="0" applyFont="1" applyFill="1" applyBorder="1" applyAlignment="1">
      <alignment horizontal="justify" vertical="top" wrapText="1"/>
    </xf>
    <xf numFmtId="0" fontId="42" fillId="10" borderId="12" xfId="0" applyFont="1" applyFill="1" applyBorder="1" applyAlignment="1">
      <alignment horizontal="justify" vertical="top" wrapText="1"/>
    </xf>
    <xf numFmtId="0" fontId="37" fillId="33" borderId="41" xfId="0" applyFont="1" applyFill="1" applyBorder="1" applyAlignment="1" applyProtection="1">
      <alignment horizontal="left" vertical="center" indent="1"/>
      <protection locked="0"/>
    </xf>
    <xf numFmtId="0" fontId="37" fillId="33" borderId="38" xfId="0" applyFont="1" applyFill="1" applyBorder="1" applyAlignment="1" applyProtection="1">
      <alignment horizontal="left" vertical="center" indent="1"/>
      <protection locked="0"/>
    </xf>
    <xf numFmtId="3" fontId="0" fillId="0" borderId="24" xfId="0" applyNumberFormat="1" applyFont="1" applyBorder="1" applyAlignment="1" applyProtection="1">
      <alignment horizontal="left" vertical="center"/>
      <protection/>
    </xf>
    <xf numFmtId="3" fontId="0" fillId="0" borderId="25" xfId="0" applyNumberFormat="1" applyFont="1" applyBorder="1" applyAlignment="1" applyProtection="1">
      <alignment horizontal="left" vertical="center"/>
      <protection/>
    </xf>
    <xf numFmtId="0" fontId="79" fillId="0" borderId="63" xfId="0" applyFont="1" applyBorder="1" applyAlignment="1" applyProtection="1">
      <alignment horizontal="center"/>
      <protection/>
    </xf>
    <xf numFmtId="0" fontId="2" fillId="0" borderId="20" xfId="0" applyFont="1" applyBorder="1" applyAlignment="1" applyProtection="1">
      <alignment horizontal="center" vertical="center"/>
      <protection/>
    </xf>
    <xf numFmtId="0" fontId="2" fillId="0" borderId="19" xfId="0" applyFont="1" applyBorder="1" applyAlignment="1" applyProtection="1">
      <alignment horizontal="center" vertical="center"/>
      <protection/>
    </xf>
    <xf numFmtId="0" fontId="131" fillId="32" borderId="25" xfId="0" applyFont="1" applyFill="1" applyBorder="1" applyAlignment="1" applyProtection="1">
      <alignment horizontal="center" vertical="center" wrapText="1"/>
      <protection/>
    </xf>
    <xf numFmtId="0" fontId="0" fillId="0" borderId="24" xfId="0" applyFont="1" applyBorder="1" applyAlignment="1" applyProtection="1">
      <alignment horizontal="left" vertical="center" wrapText="1"/>
      <protection/>
    </xf>
    <xf numFmtId="0" fontId="0" fillId="0" borderId="24" xfId="0" applyBorder="1" applyAlignment="1" applyProtection="1">
      <alignment horizontal="left" vertical="center" wrapText="1"/>
      <protection/>
    </xf>
    <xf numFmtId="0" fontId="31" fillId="0" borderId="0" xfId="0" applyFont="1" applyAlignment="1" applyProtection="1">
      <alignment horizontal="center"/>
      <protection/>
    </xf>
    <xf numFmtId="0" fontId="0" fillId="0" borderId="34" xfId="0" applyBorder="1" applyAlignment="1" applyProtection="1">
      <alignment horizontal="left"/>
      <protection/>
    </xf>
    <xf numFmtId="0" fontId="0" fillId="0" borderId="41" xfId="0" applyBorder="1" applyAlignment="1" applyProtection="1">
      <alignment horizontal="left"/>
      <protection/>
    </xf>
    <xf numFmtId="0" fontId="2" fillId="0" borderId="35" xfId="0" applyFont="1" applyBorder="1" applyAlignment="1" applyProtection="1">
      <alignment horizontal="center"/>
      <protection/>
    </xf>
    <xf numFmtId="0" fontId="2" fillId="0" borderId="36" xfId="0" applyFont="1" applyBorder="1" applyAlignment="1" applyProtection="1">
      <alignment horizontal="center"/>
      <protection/>
    </xf>
    <xf numFmtId="0" fontId="37" fillId="33" borderId="27" xfId="0" applyFont="1" applyFill="1" applyBorder="1" applyAlignment="1" applyProtection="1">
      <alignment horizontal="left" vertical="center" indent="1"/>
      <protection locked="0"/>
    </xf>
    <xf numFmtId="0" fontId="37" fillId="33" borderId="28" xfId="0" applyFont="1" applyFill="1" applyBorder="1" applyAlignment="1" applyProtection="1">
      <alignment horizontal="left" vertical="center" indent="1"/>
      <protection locked="0"/>
    </xf>
    <xf numFmtId="3" fontId="0" fillId="0" borderId="24" xfId="0" applyNumberFormat="1" applyFont="1" applyBorder="1" applyAlignment="1" applyProtection="1">
      <alignment horizontal="left" vertical="center"/>
      <protection hidden="1"/>
    </xf>
    <xf numFmtId="3" fontId="0" fillId="0" borderId="25" xfId="0" applyNumberFormat="1" applyFont="1" applyBorder="1" applyAlignment="1" applyProtection="1">
      <alignment horizontal="left" vertical="center"/>
      <protection hidden="1"/>
    </xf>
    <xf numFmtId="0" fontId="0" fillId="0" borderId="24" xfId="0" applyBorder="1" applyAlignment="1" applyProtection="1">
      <alignment horizontal="left"/>
      <protection/>
    </xf>
    <xf numFmtId="0" fontId="0" fillId="0" borderId="25" xfId="0" applyBorder="1" applyAlignment="1" applyProtection="1">
      <alignment horizontal="left"/>
      <protection/>
    </xf>
    <xf numFmtId="3" fontId="0" fillId="0" borderId="32" xfId="0" applyNumberFormat="1" applyFont="1" applyBorder="1" applyAlignment="1" applyProtection="1">
      <alignment horizontal="left" vertical="center"/>
      <protection locked="0"/>
    </xf>
    <xf numFmtId="3" fontId="0" fillId="0" borderId="27" xfId="0" applyNumberFormat="1" applyFont="1" applyBorder="1" applyAlignment="1" applyProtection="1">
      <alignment horizontal="left" vertical="center"/>
      <protection locked="0"/>
    </xf>
    <xf numFmtId="3" fontId="0" fillId="0" borderId="24" xfId="0" applyNumberFormat="1" applyFont="1" applyBorder="1" applyAlignment="1" applyProtection="1">
      <alignment horizontal="left" vertical="center"/>
      <protection/>
    </xf>
    <xf numFmtId="3" fontId="140" fillId="0" borderId="0" xfId="0" applyNumberFormat="1" applyFont="1" applyAlignment="1" applyProtection="1">
      <alignment horizontal="center" wrapText="1"/>
      <protection/>
    </xf>
    <xf numFmtId="3" fontId="2" fillId="0" borderId="32" xfId="0" applyNumberFormat="1" applyFont="1" applyBorder="1" applyAlignment="1" applyProtection="1">
      <alignment horizontal="center"/>
      <protection/>
    </xf>
    <xf numFmtId="3" fontId="2" fillId="0" borderId="27" xfId="0" applyNumberFormat="1" applyFont="1" applyBorder="1" applyAlignment="1" applyProtection="1">
      <alignment horizontal="center"/>
      <protection/>
    </xf>
    <xf numFmtId="3" fontId="0" fillId="36" borderId="27" xfId="0" applyNumberFormat="1" applyFont="1" applyFill="1" applyBorder="1" applyAlignment="1" applyProtection="1">
      <alignment horizontal="center"/>
      <protection/>
    </xf>
    <xf numFmtId="3" fontId="32" fillId="0" borderId="41" xfId="0" applyNumberFormat="1" applyFont="1" applyBorder="1" applyAlignment="1" applyProtection="1">
      <alignment horizontal="center" vertical="center" wrapText="1"/>
      <protection/>
    </xf>
    <xf numFmtId="3" fontId="32" fillId="0" borderId="38" xfId="0" applyNumberFormat="1" applyFont="1" applyBorder="1" applyAlignment="1" applyProtection="1">
      <alignment horizontal="center" vertical="center" wrapText="1"/>
      <protection/>
    </xf>
    <xf numFmtId="3" fontId="32" fillId="0" borderId="34" xfId="0" applyNumberFormat="1" applyFont="1" applyBorder="1" applyAlignment="1" applyProtection="1">
      <alignment horizontal="center" vertical="center" wrapText="1"/>
      <protection/>
    </xf>
    <xf numFmtId="0" fontId="2" fillId="0" borderId="34" xfId="0" applyFont="1" applyBorder="1" applyAlignment="1">
      <alignment horizontal="center" vertical="center"/>
    </xf>
    <xf numFmtId="0" fontId="2" fillId="0" borderId="32" xfId="0" applyFont="1" applyBorder="1" applyAlignment="1">
      <alignment horizontal="center" vertical="center"/>
    </xf>
    <xf numFmtId="0" fontId="2" fillId="0" borderId="100" xfId="0" applyFont="1" applyBorder="1" applyAlignment="1">
      <alignment horizontal="center"/>
    </xf>
    <xf numFmtId="0" fontId="2" fillId="0" borderId="53" xfId="0" applyFont="1" applyBorder="1" applyAlignment="1">
      <alignment horizontal="center"/>
    </xf>
    <xf numFmtId="0" fontId="2" fillId="0" borderId="45" xfId="0" applyFont="1" applyBorder="1" applyAlignment="1">
      <alignment horizontal="center"/>
    </xf>
    <xf numFmtId="0" fontId="6" fillId="0" borderId="59" xfId="0" applyFont="1" applyBorder="1" applyAlignment="1">
      <alignment horizontal="center"/>
    </xf>
    <xf numFmtId="0" fontId="6" fillId="0" borderId="60" xfId="0" applyFont="1" applyBorder="1" applyAlignment="1">
      <alignment horizontal="center"/>
    </xf>
    <xf numFmtId="0" fontId="6" fillId="0" borderId="57" xfId="0" applyFont="1" applyBorder="1" applyAlignment="1">
      <alignment horizontal="center"/>
    </xf>
    <xf numFmtId="0" fontId="2" fillId="0" borderId="34" xfId="0" applyFont="1" applyBorder="1" applyAlignment="1">
      <alignment horizontal="center"/>
    </xf>
    <xf numFmtId="0" fontId="2" fillId="0" borderId="41" xfId="0" applyFont="1" applyBorder="1" applyAlignment="1">
      <alignment horizontal="center"/>
    </xf>
    <xf numFmtId="0" fontId="2" fillId="0" borderId="38" xfId="0" applyFont="1" applyBorder="1" applyAlignment="1">
      <alignment horizontal="center"/>
    </xf>
    <xf numFmtId="0" fontId="6" fillId="0" borderId="59" xfId="0" applyFont="1" applyBorder="1" applyAlignment="1">
      <alignment horizontal="center"/>
    </xf>
    <xf numFmtId="0" fontId="80" fillId="0" borderId="48" xfId="0" applyNumberFormat="1" applyFont="1" applyBorder="1" applyAlignment="1" applyProtection="1">
      <alignment horizontal="center"/>
      <protection locked="0"/>
    </xf>
    <xf numFmtId="0" fontId="80" fillId="0" borderId="52" xfId="0" applyNumberFormat="1" applyFont="1" applyBorder="1" applyAlignment="1" applyProtection="1">
      <alignment horizontal="center"/>
      <protection locked="0"/>
    </xf>
    <xf numFmtId="0" fontId="80" fillId="0" borderId="49" xfId="0" applyNumberFormat="1" applyFont="1" applyBorder="1" applyAlignment="1" applyProtection="1">
      <alignment horizontal="center"/>
      <protection locked="0"/>
    </xf>
    <xf numFmtId="0" fontId="80" fillId="0" borderId="11" xfId="0" applyNumberFormat="1" applyFont="1" applyBorder="1" applyAlignment="1" applyProtection="1">
      <alignment horizontal="center"/>
      <protection locked="0"/>
    </xf>
    <xf numFmtId="0" fontId="80" fillId="0" borderId="0" xfId="0" applyNumberFormat="1" applyFont="1" applyBorder="1" applyAlignment="1" applyProtection="1">
      <alignment horizontal="center"/>
      <protection locked="0"/>
    </xf>
    <xf numFmtId="0" fontId="80" fillId="0" borderId="10" xfId="0" applyNumberFormat="1" applyFont="1" applyBorder="1" applyAlignment="1" applyProtection="1">
      <alignment horizontal="center"/>
      <protection locked="0"/>
    </xf>
    <xf numFmtId="0" fontId="5" fillId="0" borderId="11" xfId="0" applyNumberFormat="1" applyFont="1" applyBorder="1" applyAlignment="1" applyProtection="1">
      <alignment horizontal="center" vertical="center" wrapText="1"/>
      <protection locked="0"/>
    </xf>
    <xf numFmtId="0" fontId="5" fillId="0" borderId="0" xfId="0" applyNumberFormat="1" applyFont="1" applyBorder="1" applyAlignment="1" applyProtection="1">
      <alignment horizontal="center" vertical="center" wrapText="1"/>
      <protection locked="0"/>
    </xf>
    <xf numFmtId="0" fontId="5" fillId="0" borderId="10" xfId="0" applyNumberFormat="1" applyFont="1" applyBorder="1" applyAlignment="1" applyProtection="1">
      <alignment horizontal="center" vertical="center" wrapText="1"/>
      <protection locked="0"/>
    </xf>
    <xf numFmtId="0" fontId="5" fillId="0" borderId="11" xfId="0" applyFont="1" applyBorder="1" applyAlignment="1" applyProtection="1">
      <alignment horizontal="left" vertical="center" wrapText="1"/>
      <protection/>
    </xf>
    <xf numFmtId="0" fontId="5" fillId="0" borderId="0" xfId="0" applyFont="1" applyBorder="1" applyAlignment="1" applyProtection="1">
      <alignment horizontal="left" vertical="center" wrapText="1"/>
      <protection/>
    </xf>
    <xf numFmtId="0" fontId="5" fillId="0" borderId="10" xfId="0" applyFont="1" applyBorder="1" applyAlignment="1" applyProtection="1">
      <alignment horizontal="left" vertical="center" wrapText="1"/>
      <protection/>
    </xf>
    <xf numFmtId="0" fontId="141" fillId="0" borderId="11" xfId="0" applyFont="1" applyBorder="1" applyAlignment="1" applyProtection="1">
      <alignment horizontal="left" vertical="center" wrapText="1"/>
      <protection/>
    </xf>
    <xf numFmtId="0" fontId="141" fillId="0" borderId="0" xfId="0" applyFont="1" applyBorder="1" applyAlignment="1" applyProtection="1">
      <alignment horizontal="left" vertical="center" wrapText="1"/>
      <protection/>
    </xf>
    <xf numFmtId="0" fontId="141" fillId="0" borderId="10" xfId="0" applyFont="1" applyBorder="1" applyAlignment="1" applyProtection="1">
      <alignment horizontal="left" vertical="center" wrapText="1"/>
      <protection/>
    </xf>
    <xf numFmtId="0" fontId="5" fillId="0" borderId="101" xfId="0" applyFont="1" applyBorder="1" applyAlignment="1" applyProtection="1">
      <alignment horizontal="center" vertical="center" wrapText="1"/>
      <protection/>
    </xf>
    <xf numFmtId="0" fontId="5" fillId="0" borderId="102" xfId="0" applyFont="1" applyBorder="1" applyAlignment="1" applyProtection="1">
      <alignment horizontal="center" vertical="center" wrapText="1"/>
      <protection/>
    </xf>
    <xf numFmtId="0" fontId="5" fillId="0" borderId="11" xfId="0" applyFont="1" applyBorder="1" applyAlignment="1" applyProtection="1">
      <alignment horizontal="center" vertical="center" wrapText="1"/>
      <protection/>
    </xf>
    <xf numFmtId="0" fontId="5" fillId="0" borderId="0" xfId="0" applyFont="1" applyBorder="1" applyAlignment="1" applyProtection="1">
      <alignment horizontal="center" vertical="center" wrapText="1"/>
      <protection/>
    </xf>
    <xf numFmtId="0" fontId="5" fillId="0" borderId="11" xfId="0" applyNumberFormat="1" applyFont="1" applyBorder="1" applyAlignment="1" applyProtection="1">
      <alignment horizontal="left" vertical="center" wrapText="1"/>
      <protection locked="0"/>
    </xf>
    <xf numFmtId="0" fontId="5" fillId="0" borderId="0" xfId="0" applyNumberFormat="1" applyFont="1" applyBorder="1" applyAlignment="1" applyProtection="1">
      <alignment horizontal="left" vertical="center" wrapText="1"/>
      <protection locked="0"/>
    </xf>
    <xf numFmtId="0" fontId="5" fillId="0" borderId="10" xfId="0" applyNumberFormat="1" applyFont="1" applyBorder="1" applyAlignment="1" applyProtection="1">
      <alignment horizontal="left" vertical="center" wrapText="1"/>
      <protection locked="0"/>
    </xf>
    <xf numFmtId="3" fontId="44" fillId="35" borderId="103" xfId="50" applyNumberFormat="1" applyFont="1" applyFill="1" applyBorder="1" applyAlignment="1" applyProtection="1">
      <alignment horizontal="center"/>
      <protection/>
    </xf>
    <xf numFmtId="3" fontId="44" fillId="35" borderId="56" xfId="50" applyNumberFormat="1" applyFont="1" applyFill="1" applyBorder="1" applyAlignment="1" applyProtection="1">
      <alignment horizontal="center"/>
      <protection/>
    </xf>
    <xf numFmtId="10" fontId="0" fillId="35" borderId="103" xfId="56" applyNumberFormat="1" applyFont="1" applyFill="1" applyBorder="1" applyAlignment="1" applyProtection="1">
      <alignment horizontal="center"/>
      <protection/>
    </xf>
    <xf numFmtId="10" fontId="0" fillId="35" borderId="56" xfId="56" applyNumberFormat="1" applyFont="1" applyFill="1" applyBorder="1" applyAlignment="1" applyProtection="1">
      <alignment horizontal="center"/>
      <protection/>
    </xf>
    <xf numFmtId="0" fontId="29" fillId="41" borderId="59" xfId="0" applyFont="1" applyFill="1" applyBorder="1" applyAlignment="1" applyProtection="1">
      <alignment horizontal="center" vertical="center"/>
      <protection/>
    </xf>
    <xf numFmtId="0" fontId="29" fillId="41" borderId="57" xfId="0" applyFont="1" applyFill="1" applyBorder="1" applyAlignment="1" applyProtection="1">
      <alignment horizontal="center" vertical="center"/>
      <protection/>
    </xf>
    <xf numFmtId="3" fontId="45" fillId="35" borderId="103" xfId="50" applyNumberFormat="1" applyFont="1" applyFill="1" applyBorder="1" applyAlignment="1" applyProtection="1">
      <alignment horizontal="center"/>
      <protection/>
    </xf>
    <xf numFmtId="3" fontId="45" fillId="35" borderId="56" xfId="50" applyNumberFormat="1" applyFont="1" applyFill="1" applyBorder="1" applyAlignment="1" applyProtection="1">
      <alignment horizontal="center"/>
      <protection/>
    </xf>
    <xf numFmtId="10" fontId="2" fillId="35" borderId="103" xfId="56" applyNumberFormat="1" applyFont="1" applyFill="1" applyBorder="1" applyAlignment="1" applyProtection="1">
      <alignment horizontal="center"/>
      <protection/>
    </xf>
    <xf numFmtId="10" fontId="2" fillId="35" borderId="56" xfId="56" applyNumberFormat="1" applyFont="1" applyFill="1" applyBorder="1" applyAlignment="1" applyProtection="1">
      <alignment horizontal="center"/>
      <protection/>
    </xf>
    <xf numFmtId="0" fontId="51" fillId="0" borderId="85" xfId="0" applyFont="1" applyBorder="1" applyAlignment="1" applyProtection="1">
      <alignment horizontal="center" vertical="center"/>
      <protection/>
    </xf>
    <xf numFmtId="0" fontId="51" fillId="0" borderId="60" xfId="0" applyFont="1" applyBorder="1" applyAlignment="1" applyProtection="1">
      <alignment horizontal="center" vertical="center"/>
      <protection/>
    </xf>
    <xf numFmtId="0" fontId="51" fillId="0" borderId="104" xfId="0" applyFont="1" applyBorder="1" applyAlignment="1" applyProtection="1">
      <alignment horizontal="center" vertical="center"/>
      <protection/>
    </xf>
    <xf numFmtId="3" fontId="142" fillId="34" borderId="0" xfId="0" applyNumberFormat="1" applyFont="1" applyFill="1" applyBorder="1" applyAlignment="1" applyProtection="1">
      <alignment horizontal="center" vertical="center" wrapText="1"/>
      <protection/>
    </xf>
    <xf numFmtId="3" fontId="40" fillId="34" borderId="105" xfId="0" applyNumberFormat="1" applyFont="1" applyFill="1" applyBorder="1" applyAlignment="1" applyProtection="1">
      <alignment horizontal="center" vertical="center"/>
      <protection/>
    </xf>
    <xf numFmtId="3" fontId="40" fillId="34" borderId="106" xfId="0" applyNumberFormat="1" applyFont="1" applyFill="1" applyBorder="1" applyAlignment="1" applyProtection="1">
      <alignment horizontal="center" vertical="center"/>
      <protection/>
    </xf>
    <xf numFmtId="3" fontId="40" fillId="34" borderId="66" xfId="0" applyNumberFormat="1" applyFont="1" applyFill="1" applyBorder="1" applyAlignment="1" applyProtection="1">
      <alignment horizontal="center" vertical="center"/>
      <protection/>
    </xf>
    <xf numFmtId="3" fontId="40" fillId="34" borderId="0" xfId="0" applyNumberFormat="1" applyFont="1" applyFill="1" applyBorder="1" applyAlignment="1" applyProtection="1">
      <alignment horizontal="center" vertical="center"/>
      <protection/>
    </xf>
    <xf numFmtId="3" fontId="67" fillId="34" borderId="74" xfId="0" applyNumberFormat="1" applyFont="1" applyFill="1" applyBorder="1" applyAlignment="1" applyProtection="1">
      <alignment horizontal="left" vertical="center"/>
      <protection/>
    </xf>
    <xf numFmtId="3" fontId="67" fillId="34" borderId="63" xfId="0" applyNumberFormat="1" applyFont="1" applyFill="1" applyBorder="1" applyAlignment="1" applyProtection="1">
      <alignment horizontal="left" vertical="center"/>
      <protection/>
    </xf>
    <xf numFmtId="3" fontId="67" fillId="34" borderId="75" xfId="0" applyNumberFormat="1" applyFont="1" applyFill="1" applyBorder="1" applyAlignment="1" applyProtection="1">
      <alignment horizontal="left" vertical="center"/>
      <protection/>
    </xf>
    <xf numFmtId="3" fontId="143" fillId="0" borderId="0" xfId="0" applyNumberFormat="1" applyFont="1" applyBorder="1" applyAlignment="1" applyProtection="1">
      <alignment horizontal="center" vertical="center" wrapText="1"/>
      <protection/>
    </xf>
    <xf numFmtId="3" fontId="76" fillId="34" borderId="0" xfId="0" applyNumberFormat="1" applyFont="1" applyFill="1" applyBorder="1" applyAlignment="1" applyProtection="1">
      <alignment horizontal="center" vertical="center" wrapText="1"/>
      <protection/>
    </xf>
    <xf numFmtId="0" fontId="14" fillId="0" borderId="0" xfId="0" applyFont="1" applyBorder="1" applyAlignment="1" applyProtection="1">
      <alignment horizontal="center" vertical="center" wrapText="1"/>
      <protection/>
    </xf>
    <xf numFmtId="3" fontId="67" fillId="34" borderId="24" xfId="0" applyNumberFormat="1" applyFont="1" applyFill="1" applyBorder="1" applyAlignment="1" applyProtection="1">
      <alignment horizontal="left" vertical="center"/>
      <protection/>
    </xf>
    <xf numFmtId="3" fontId="67" fillId="34" borderId="25" xfId="0" applyNumberFormat="1" applyFont="1" applyFill="1" applyBorder="1" applyAlignment="1" applyProtection="1">
      <alignment horizontal="left" vertical="center"/>
      <protection/>
    </xf>
    <xf numFmtId="3" fontId="67" fillId="34" borderId="26" xfId="0" applyNumberFormat="1" applyFont="1" applyFill="1" applyBorder="1" applyAlignment="1" applyProtection="1">
      <alignment horizontal="left" vertical="center"/>
      <protection/>
    </xf>
    <xf numFmtId="3" fontId="40" fillId="0" borderId="34" xfId="0" applyNumberFormat="1" applyFont="1" applyFill="1" applyBorder="1" applyAlignment="1" applyProtection="1">
      <alignment horizontal="center" vertical="center"/>
      <protection/>
    </xf>
    <xf numFmtId="3" fontId="40" fillId="0" borderId="41" xfId="0" applyNumberFormat="1" applyFont="1" applyFill="1" applyBorder="1" applyAlignment="1" applyProtection="1">
      <alignment horizontal="center" vertical="center"/>
      <protection/>
    </xf>
    <xf numFmtId="3" fontId="40" fillId="0" borderId="24" xfId="0" applyNumberFormat="1" applyFont="1" applyFill="1" applyBorder="1" applyAlignment="1" applyProtection="1">
      <alignment horizontal="center" vertical="center"/>
      <protection/>
    </xf>
    <xf numFmtId="3" fontId="40" fillId="0" borderId="25" xfId="0" applyNumberFormat="1" applyFont="1" applyFill="1" applyBorder="1" applyAlignment="1" applyProtection="1">
      <alignment horizontal="center" vertical="center"/>
      <protection/>
    </xf>
    <xf numFmtId="3" fontId="67" fillId="0" borderId="24" xfId="0" applyNumberFormat="1" applyFont="1" applyFill="1" applyBorder="1" applyAlignment="1" applyProtection="1">
      <alignment horizontal="left" vertical="center"/>
      <protection/>
    </xf>
    <xf numFmtId="3" fontId="67" fillId="0" borderId="25" xfId="0" applyNumberFormat="1" applyFont="1" applyFill="1" applyBorder="1" applyAlignment="1" applyProtection="1">
      <alignment horizontal="left" vertical="center"/>
      <protection/>
    </xf>
    <xf numFmtId="3" fontId="67" fillId="0" borderId="26" xfId="0" applyNumberFormat="1" applyFont="1" applyFill="1" applyBorder="1" applyAlignment="1" applyProtection="1">
      <alignment horizontal="left" vertical="center"/>
      <protection/>
    </xf>
    <xf numFmtId="3" fontId="77" fillId="0" borderId="0" xfId="0" applyNumberFormat="1" applyFont="1" applyFill="1" applyBorder="1" applyAlignment="1" applyProtection="1">
      <alignment horizontal="center" vertical="center" wrapText="1"/>
      <protection/>
    </xf>
    <xf numFmtId="3" fontId="75" fillId="0" borderId="0" xfId="0" applyNumberFormat="1" applyFont="1" applyFill="1" applyBorder="1" applyAlignment="1" applyProtection="1">
      <alignment horizontal="center" vertical="center" wrapText="1"/>
      <protection/>
    </xf>
    <xf numFmtId="0" fontId="74" fillId="0" borderId="0" xfId="0" applyFont="1" applyFill="1" applyBorder="1" applyAlignment="1" applyProtection="1">
      <alignment horizontal="center" vertical="center" wrapText="1"/>
      <protection/>
    </xf>
    <xf numFmtId="0" fontId="51" fillId="0" borderId="24" xfId="0" applyFont="1" applyBorder="1" applyAlignment="1" applyProtection="1">
      <alignment horizontal="center" vertical="center"/>
      <protection/>
    </xf>
    <xf numFmtId="0" fontId="51" fillId="0" borderId="25" xfId="0" applyFont="1" applyBorder="1" applyAlignment="1" applyProtection="1">
      <alignment horizontal="center" vertical="center"/>
      <protection/>
    </xf>
    <xf numFmtId="0" fontId="51" fillId="0" borderId="26" xfId="0" applyFont="1" applyBorder="1" applyAlignment="1" applyProtection="1">
      <alignment horizontal="center" vertical="center"/>
      <protection/>
    </xf>
    <xf numFmtId="3" fontId="78" fillId="0" borderId="0" xfId="0" applyNumberFormat="1" applyFont="1" applyFill="1" applyBorder="1" applyAlignment="1" applyProtection="1">
      <alignment horizontal="center" vertical="center" wrapText="1"/>
      <protection/>
    </xf>
    <xf numFmtId="3" fontId="40" fillId="34" borderId="34" xfId="0" applyNumberFormat="1" applyFont="1" applyFill="1" applyBorder="1" applyAlignment="1" applyProtection="1">
      <alignment horizontal="center" vertical="center"/>
      <protection/>
    </xf>
    <xf numFmtId="3" fontId="40" fillId="34" borderId="41" xfId="0" applyNumberFormat="1" applyFont="1" applyFill="1" applyBorder="1" applyAlignment="1" applyProtection="1">
      <alignment horizontal="center" vertical="center"/>
      <protection/>
    </xf>
    <xf numFmtId="3" fontId="40" fillId="34" borderId="24" xfId="0" applyNumberFormat="1" applyFont="1" applyFill="1" applyBorder="1" applyAlignment="1" applyProtection="1">
      <alignment horizontal="center" vertical="center"/>
      <protection/>
    </xf>
    <xf numFmtId="3" fontId="40" fillId="34" borderId="25" xfId="0" applyNumberFormat="1" applyFont="1" applyFill="1" applyBorder="1" applyAlignment="1" applyProtection="1">
      <alignment horizontal="center" vertical="center"/>
      <protection/>
    </xf>
    <xf numFmtId="0" fontId="51" fillId="0" borderId="24" xfId="0" applyFont="1" applyFill="1" applyBorder="1" applyAlignment="1" applyProtection="1">
      <alignment horizontal="center" vertical="center"/>
      <protection/>
    </xf>
    <xf numFmtId="0" fontId="51" fillId="0" borderId="25" xfId="0" applyFont="1" applyFill="1" applyBorder="1" applyAlignment="1" applyProtection="1">
      <alignment horizontal="center" vertical="center"/>
      <protection/>
    </xf>
    <xf numFmtId="0" fontId="51" fillId="0" borderId="26" xfId="0" applyFont="1" applyFill="1" applyBorder="1" applyAlignment="1" applyProtection="1">
      <alignment horizontal="center" vertical="center"/>
      <protection/>
    </xf>
    <xf numFmtId="0" fontId="0" fillId="0" borderId="11" xfId="0" applyBorder="1" applyAlignment="1" applyProtection="1">
      <alignment horizontal="center" vertical="center" wrapText="1"/>
      <protection locked="0"/>
    </xf>
    <xf numFmtId="0" fontId="0" fillId="0" borderId="0" xfId="0" applyBorder="1" applyAlignment="1" applyProtection="1">
      <alignment horizontal="center" vertical="center" wrapText="1"/>
      <protection locked="0"/>
    </xf>
    <xf numFmtId="0" fontId="0" fillId="0" borderId="10" xfId="0" applyBorder="1" applyAlignment="1" applyProtection="1">
      <alignment horizontal="center" vertical="center" wrapText="1"/>
      <protection locked="0"/>
    </xf>
    <xf numFmtId="0" fontId="0" fillId="0" borderId="99" xfId="0" applyBorder="1" applyAlignment="1" applyProtection="1">
      <alignment horizontal="center"/>
      <protection/>
    </xf>
    <xf numFmtId="0" fontId="0" fillId="0" borderId="12" xfId="0" applyBorder="1" applyAlignment="1" applyProtection="1">
      <alignment horizontal="center"/>
      <protection/>
    </xf>
    <xf numFmtId="0" fontId="39" fillId="0" borderId="0" xfId="0" applyFont="1" applyAlignment="1" applyProtection="1">
      <alignment horizontal="center" vertical="center" wrapText="1"/>
      <protection/>
    </xf>
    <xf numFmtId="3" fontId="47" fillId="0" borderId="0" xfId="0" applyNumberFormat="1" applyFont="1" applyFill="1" applyBorder="1" applyAlignment="1" applyProtection="1">
      <alignment horizontal="center" vertical="center" wrapText="1"/>
      <protection locked="0"/>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uro" xfId="46"/>
    <cellStyle name="Hyperlink" xfId="47"/>
    <cellStyle name="Followed Hyperlink" xfId="48"/>
    <cellStyle name="Incorrecto" xfId="49"/>
    <cellStyle name="Comma" xfId="50"/>
    <cellStyle name="Comma [0]" xfId="51"/>
    <cellStyle name="Currency" xfId="52"/>
    <cellStyle name="Currency [0]" xfId="53"/>
    <cellStyle name="Neutral"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dxfs count="24">
    <dxf>
      <fill>
        <patternFill>
          <bgColor theme="0" tint="-0.24993999302387238"/>
        </patternFill>
      </fill>
      <border>
        <left style="thin"/>
        <right style="thin"/>
        <top style="thin"/>
        <bottom style="thin"/>
      </border>
    </dxf>
    <dxf>
      <font>
        <color indexed="12"/>
      </font>
    </dxf>
    <dxf>
      <font>
        <color indexed="62"/>
      </font>
      <fill>
        <patternFill>
          <bgColor indexed="42"/>
        </patternFill>
      </fill>
    </dxf>
    <dxf>
      <font>
        <color indexed="62"/>
      </font>
    </dxf>
    <dxf>
      <font>
        <color indexed="12"/>
      </font>
      <fill>
        <patternFill>
          <bgColor indexed="42"/>
        </patternFill>
      </fill>
    </dxf>
    <dxf>
      <font>
        <color indexed="12"/>
      </font>
      <fill>
        <patternFill patternType="none">
          <bgColor indexed="65"/>
        </patternFill>
      </fill>
    </dxf>
    <dxf>
      <font>
        <color indexed="62"/>
      </font>
      <fill>
        <patternFill>
          <bgColor indexed="42"/>
        </patternFill>
      </fill>
    </dxf>
    <dxf>
      <font>
        <color indexed="62"/>
      </font>
    </dxf>
    <dxf>
      <font>
        <color indexed="12"/>
      </font>
      <fill>
        <patternFill>
          <bgColor indexed="42"/>
        </patternFill>
      </fill>
    </dxf>
    <dxf>
      <font>
        <color indexed="56"/>
      </font>
    </dxf>
    <dxf>
      <font>
        <color indexed="62"/>
      </font>
      <fill>
        <patternFill patternType="none">
          <bgColor indexed="65"/>
        </patternFill>
      </fill>
    </dxf>
    <dxf>
      <font>
        <color indexed="62"/>
      </font>
      <fill>
        <patternFill>
          <bgColor indexed="42"/>
        </patternFill>
      </fill>
    </dxf>
    <dxf>
      <border>
        <left style="thin"/>
        <right style="thin"/>
        <top style="thin"/>
        <bottom style="thin"/>
      </border>
    </dxf>
    <dxf>
      <font>
        <color indexed="12"/>
      </font>
    </dxf>
    <dxf>
      <font>
        <color indexed="62"/>
      </font>
    </dxf>
    <dxf>
      <font>
        <color indexed="12"/>
      </font>
      <fill>
        <patternFill patternType="none">
          <bgColor indexed="65"/>
        </patternFill>
      </fill>
    </dxf>
    <dxf>
      <font>
        <color indexed="62"/>
      </font>
    </dxf>
    <dxf>
      <font>
        <color indexed="56"/>
      </font>
    </dxf>
    <dxf>
      <font>
        <color indexed="62"/>
      </font>
      <fill>
        <patternFill patternType="none">
          <bgColor indexed="65"/>
        </patternFill>
      </fill>
    </dxf>
    <dxf>
      <fill>
        <patternFill>
          <bgColor indexed="47"/>
        </patternFill>
      </fill>
      <border>
        <left style="thin"/>
        <right style="thin"/>
        <top style="thin"/>
        <bottom style="thin"/>
      </border>
    </dxf>
    <dxf>
      <fill>
        <patternFill patternType="none">
          <bgColor indexed="65"/>
        </patternFill>
      </fill>
      <border>
        <left/>
        <right/>
        <top/>
        <bottom/>
      </border>
    </dxf>
    <dxf>
      <fill>
        <patternFill>
          <bgColor rgb="FFE3E3E3"/>
        </patternFill>
      </fill>
      <border>
        <left style="thin">
          <color rgb="FF000000"/>
        </left>
        <right style="thin">
          <color rgb="FF000000"/>
        </right>
        <top style="thin"/>
        <bottom style="thin">
          <color rgb="FF000000"/>
        </bottom>
      </border>
    </dxf>
    <dxf>
      <border>
        <left style="thin">
          <color rgb="FF000000"/>
        </left>
        <right style="thin">
          <color rgb="FF000000"/>
        </right>
        <top style="thin"/>
        <bottom style="thin">
          <color rgb="FF000000"/>
        </bottom>
      </border>
    </dxf>
    <dxf>
      <fill>
        <patternFill>
          <bgColor theme="0" tint="-0.24993999302387238"/>
        </patternFill>
      </fill>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xdr:colOff>
      <xdr:row>0</xdr:row>
      <xdr:rowOff>0</xdr:rowOff>
    </xdr:from>
    <xdr:to>
      <xdr:col>9</xdr:col>
      <xdr:colOff>0</xdr:colOff>
      <xdr:row>0</xdr:row>
      <xdr:rowOff>0</xdr:rowOff>
    </xdr:to>
    <xdr:sp>
      <xdr:nvSpPr>
        <xdr:cNvPr id="1" name="Texto 2"/>
        <xdr:cNvSpPr txBox="1">
          <a:spLocks noChangeArrowheads="1"/>
        </xdr:cNvSpPr>
      </xdr:nvSpPr>
      <xdr:spPr>
        <a:xfrm>
          <a:off x="314325" y="0"/>
          <a:ext cx="9153525" cy="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ACUERDO Nro.
</a:t>
          </a:r>
          <a:r>
            <a:rPr lang="en-US" cap="none" sz="14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(Fecha..                )
</a:t>
          </a:r>
          <a:r>
            <a:rPr lang="en-US" cap="none" sz="1200" b="1"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Por medio del cual se fija el Plan de cargos y Asignaciones de la E.S.E. HOSPITAL........del 01 de enero al 31 de diciembre de 1.996
</a:t>
          </a:r>
          <a:r>
            <a:rPr lang="en-US" cap="none" sz="1200" b="0"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La Junta Administradora de la E.S.E. HOSPITAL............</a:t>
          </a:r>
          <a:r>
            <a:rPr lang="en-US" cap="none" sz="1200" b="0" i="0" u="none" baseline="0">
              <a:solidFill>
                <a:srgbClr val="000000"/>
              </a:solidFill>
              <a:latin typeface="Arial"/>
              <a:ea typeface="Arial"/>
              <a:cs typeface="Arial"/>
            </a:rPr>
            <a:t>del Municipio de ............., en uso de sus facultades legales y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ACUERDA:
</a:t>
          </a:r>
          <a:r>
            <a:rPr lang="en-US" cap="none" sz="1200" b="1"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ARTICULO 1o. Fijar el Plan de Cargos y Asignaciones de la E.S.E. HOSPITAL.......,  del Municipio de ........., para la vigencia del 1 de enero al 31 de diciembre de 1996, en la suma de ( Letras y Números.................), según el siguiente detalle
</a:t>
          </a:r>
          <a:r>
            <a:rPr lang="en-US" cap="none" sz="1200" b="0" i="0" u="none" baseline="0">
              <a:solidFill>
                <a:srgbClr val="000000"/>
              </a:solidFill>
              <a:latin typeface="Arial"/>
              <a:ea typeface="Arial"/>
              <a:cs typeface="Arial"/>
            </a:rPr>
            <a:t>1</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VALIDADOR%20TRIMESTRAL\VALIDADOR%202193%20TRIMESTRA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oja1"/>
      <sheetName val="CARTERA Y ECUACION CONTABLE"/>
      <sheetName val="CXP"/>
      <sheetName val="INGRESOS"/>
      <sheetName val="GASTOS"/>
      <sheetName val="DEFINITIVO Vs. COMPROMISOS"/>
      <sheetName val="DATOS PARA CONCILIAR"/>
      <sheetName val="VALIDACION BALANCES Vs CHIP"/>
    </sheetNames>
    <sheetDataSet>
      <sheetData sheetId="2">
        <row r="1">
          <cell r="AJ1">
            <v>1</v>
          </cell>
          <cell r="AK1" t="str">
            <v>TOTAL ACTIVO</v>
          </cell>
          <cell r="AL1">
            <v>0</v>
          </cell>
        </row>
        <row r="2">
          <cell r="AJ2">
            <v>11</v>
          </cell>
          <cell r="AK2" t="str">
            <v>EFECTIVO</v>
          </cell>
          <cell r="AL2">
            <v>0</v>
          </cell>
        </row>
        <row r="3">
          <cell r="AJ3">
            <v>0</v>
          </cell>
          <cell r="AK3">
            <v>0</v>
          </cell>
          <cell r="AL3">
            <v>0</v>
          </cell>
        </row>
        <row r="4">
          <cell r="AJ4">
            <v>1105</v>
          </cell>
          <cell r="AK4" t="str">
            <v>CAJA</v>
          </cell>
          <cell r="AL4">
            <v>0</v>
          </cell>
        </row>
        <row r="5">
          <cell r="AJ5">
            <v>110501</v>
          </cell>
          <cell r="AK5" t="str">
            <v>Caja Principal</v>
          </cell>
          <cell r="AL5">
            <v>0</v>
          </cell>
        </row>
        <row r="6">
          <cell r="AJ6">
            <v>110502</v>
          </cell>
          <cell r="AK6" t="str">
            <v>Cajas Menores</v>
          </cell>
          <cell r="AL6">
            <v>0</v>
          </cell>
        </row>
        <row r="7">
          <cell r="AJ7">
            <v>1110</v>
          </cell>
          <cell r="AK7" t="str">
            <v>BANCOS Y CORPORACIONES</v>
          </cell>
          <cell r="AL7">
            <v>0</v>
          </cell>
        </row>
        <row r="8">
          <cell r="AJ8" t="str">
            <v>111005-111090</v>
          </cell>
          <cell r="AK8" t="str">
            <v>Cuenta Corriente Bancaria</v>
          </cell>
          <cell r="AL8">
            <v>0</v>
          </cell>
        </row>
        <row r="9">
          <cell r="AJ9">
            <v>111006</v>
          </cell>
          <cell r="AK9" t="str">
            <v>Cuenta de Ahorro</v>
          </cell>
          <cell r="AL9">
            <v>0</v>
          </cell>
        </row>
        <row r="10">
          <cell r="AJ10">
            <v>1112</v>
          </cell>
          <cell r="AK10" t="str">
            <v>ADMINISTRACIÓN DE LIQUIDEZ</v>
          </cell>
          <cell r="AL10">
            <v>0</v>
          </cell>
        </row>
        <row r="11">
          <cell r="AJ11">
            <v>1120</v>
          </cell>
          <cell r="AK11" t="str">
            <v>FONDOS EN TRANSITO</v>
          </cell>
          <cell r="AL11">
            <v>0</v>
          </cell>
        </row>
        <row r="12">
          <cell r="AJ12">
            <v>12</v>
          </cell>
          <cell r="AK12" t="str">
            <v>INVERSIONES</v>
          </cell>
          <cell r="AL12">
            <v>0</v>
          </cell>
        </row>
        <row r="13">
          <cell r="AJ13" t="str">
            <v>1201-1202-120203</v>
          </cell>
          <cell r="AK13" t="str">
            <v>INVERS ADMINISTRACIÓN DE LIQUIDEZ EN TÍTULOS DE DEUDAY TITULOS PARTICIPATIVOS</v>
          </cell>
          <cell r="AL13">
            <v>0</v>
          </cell>
        </row>
        <row r="14">
          <cell r="AJ14">
            <v>1207</v>
          </cell>
          <cell r="AK14" t="str">
            <v>INVERSIONES PATRIMONIALES EN ENTIDADES NO CONTROLADAS</v>
          </cell>
          <cell r="AL14">
            <v>0</v>
          </cell>
        </row>
        <row r="15">
          <cell r="AJ15">
            <v>13</v>
          </cell>
          <cell r="AK15" t="str">
            <v>RENTAS POR COBRAR</v>
          </cell>
          <cell r="AL15">
            <v>0</v>
          </cell>
        </row>
        <row r="16">
          <cell r="AJ16">
            <v>14</v>
          </cell>
          <cell r="AK16" t="str">
            <v>DEUDORES</v>
          </cell>
          <cell r="AL16">
            <v>0</v>
          </cell>
        </row>
        <row r="17">
          <cell r="AJ17">
            <v>1409</v>
          </cell>
          <cell r="AK17" t="str">
            <v>SERVICIOS DE SALUD</v>
          </cell>
          <cell r="AL17">
            <v>0</v>
          </cell>
        </row>
        <row r="18">
          <cell r="AJ18">
            <v>1420</v>
          </cell>
          <cell r="AK18" t="str">
            <v>AVANCES Y ANTICIPOS ENTREGADOS</v>
          </cell>
          <cell r="AL18">
            <v>0</v>
          </cell>
        </row>
        <row r="19">
          <cell r="AJ19">
            <v>1470</v>
          </cell>
          <cell r="AK19" t="str">
            <v>OTROS DEUDORES</v>
          </cell>
          <cell r="AL19">
            <v>0</v>
          </cell>
        </row>
        <row r="20">
          <cell r="AJ20">
            <v>1475</v>
          </cell>
          <cell r="AK20" t="str">
            <v>DEUDAS DE DIFICIL COBRO</v>
          </cell>
          <cell r="AL20">
            <v>0</v>
          </cell>
        </row>
        <row r="21">
          <cell r="AJ21">
            <v>148014</v>
          </cell>
          <cell r="AK21" t="str">
            <v>Provision para deudores (Servicios de Salud) digite el valor con signo positivo</v>
          </cell>
          <cell r="AL21">
            <v>0</v>
          </cell>
        </row>
        <row r="22">
          <cell r="AJ22">
            <v>15</v>
          </cell>
          <cell r="AK22" t="str">
            <v>INVENTARIOS</v>
          </cell>
          <cell r="AL22">
            <v>0</v>
          </cell>
        </row>
        <row r="23">
          <cell r="AJ23">
            <v>16</v>
          </cell>
          <cell r="AK23" t="str">
            <v>PROPIEDAD, PLANTA Y EQUIPO  </v>
          </cell>
          <cell r="AL23">
            <v>0</v>
          </cell>
        </row>
        <row r="24">
          <cell r="AJ24">
            <v>19</v>
          </cell>
          <cell r="AK24" t="str">
            <v>OTROS ACTIVOS</v>
          </cell>
          <cell r="AL24">
            <v>0</v>
          </cell>
        </row>
        <row r="25">
          <cell r="AJ25">
            <v>1905</v>
          </cell>
          <cell r="AK25" t="str">
            <v>BIENES Y SERVICIOS PAGADOS POR ANTICIPADO</v>
          </cell>
          <cell r="AL25">
            <v>0</v>
          </cell>
        </row>
        <row r="26">
          <cell r="AJ26">
            <v>1910</v>
          </cell>
          <cell r="AK26" t="str">
            <v>CARGOS DIFERIDOS</v>
          </cell>
          <cell r="AL26">
            <v>0</v>
          </cell>
        </row>
        <row r="27">
          <cell r="AJ27">
            <v>1960</v>
          </cell>
          <cell r="AK27" t="str">
            <v>BIENES DE ARTE Y CULTURA</v>
          </cell>
          <cell r="AL27">
            <v>0</v>
          </cell>
        </row>
        <row r="28">
          <cell r="AJ28">
            <v>1970</v>
          </cell>
          <cell r="AK28" t="str">
            <v>INTANGIBLES</v>
          </cell>
          <cell r="AL28">
            <v>0</v>
          </cell>
        </row>
        <row r="29">
          <cell r="AJ29">
            <v>1975</v>
          </cell>
          <cell r="AK29" t="str">
            <v>AMORTIZACION INTANGIBLES</v>
          </cell>
          <cell r="AL29">
            <v>0</v>
          </cell>
        </row>
        <row r="30">
          <cell r="AJ30" t="str">
            <v>19…</v>
          </cell>
          <cell r="AK30" t="str">
            <v>RESPONSABILIDADES - SOLO POR GLOSAS</v>
          </cell>
          <cell r="AL30">
            <v>0</v>
          </cell>
        </row>
        <row r="31">
          <cell r="AJ31" t="str">
            <v>1999….</v>
          </cell>
          <cell r="AK31" t="str">
            <v>VALORIZACIONES Y ( OTROS ACTIVOS DIFERENTES A LOS ANTERIORES DEL GRUPO 19)</v>
          </cell>
          <cell r="AL31">
            <v>0</v>
          </cell>
        </row>
        <row r="32">
          <cell r="AJ32">
            <v>2</v>
          </cell>
          <cell r="AK32" t="str">
            <v>TOTAL PASIVO</v>
          </cell>
          <cell r="AL32">
            <v>0</v>
          </cell>
        </row>
        <row r="33">
          <cell r="AJ33">
            <v>22</v>
          </cell>
          <cell r="AK33" t="str">
            <v>OPERACIONES DE CREDITO PUBLICO</v>
          </cell>
          <cell r="AL33">
            <v>0</v>
          </cell>
        </row>
        <row r="34">
          <cell r="AJ34">
            <v>23</v>
          </cell>
          <cell r="AK34" t="str">
            <v>OBLIGACIONES FINANCIERAS</v>
          </cell>
          <cell r="AL34">
            <v>0</v>
          </cell>
        </row>
        <row r="35">
          <cell r="AJ35">
            <v>24</v>
          </cell>
          <cell r="AK35" t="str">
            <v>CUENTAS POR PAGAR</v>
          </cell>
          <cell r="AL35">
            <v>0</v>
          </cell>
        </row>
        <row r="36">
          <cell r="AJ36">
            <v>2401</v>
          </cell>
          <cell r="AK36" t="str">
            <v>ADQUISICION DE BIENES Y SERVICIOS  NACIONALES</v>
          </cell>
          <cell r="AL36">
            <v>0</v>
          </cell>
        </row>
        <row r="37">
          <cell r="AJ37">
            <v>2406</v>
          </cell>
          <cell r="AK37" t="str">
            <v>ADQUISICION DE BIENES Y SERVICIOS  DEL EXTERIOR</v>
          </cell>
          <cell r="AL37">
            <v>0</v>
          </cell>
        </row>
        <row r="38">
          <cell r="AJ38">
            <v>2425</v>
          </cell>
          <cell r="AK38" t="str">
            <v>ACREEDORES</v>
          </cell>
          <cell r="AL38">
            <v>0</v>
          </cell>
        </row>
        <row r="39">
          <cell r="AJ39">
            <v>242502</v>
          </cell>
          <cell r="AK39" t="str">
            <v>Suscripciones de acciones o participaciones</v>
          </cell>
          <cell r="AL39">
            <v>0</v>
          </cell>
        </row>
        <row r="40">
          <cell r="AJ40">
            <v>242503</v>
          </cell>
          <cell r="AK40" t="str">
            <v>Dividendos y participaciones</v>
          </cell>
          <cell r="AL40">
            <v>0</v>
          </cell>
        </row>
        <row r="41">
          <cell r="AJ41">
            <v>242504</v>
          </cell>
          <cell r="AK41" t="str">
            <v>Servicios Públicos</v>
          </cell>
          <cell r="AL41">
            <v>0</v>
          </cell>
        </row>
        <row r="42">
          <cell r="AJ42">
            <v>242505</v>
          </cell>
          <cell r="AK42" t="str">
            <v>Transportes y Acarreos</v>
          </cell>
          <cell r="AL42">
            <v>0</v>
          </cell>
        </row>
        <row r="43">
          <cell r="AJ43">
            <v>242506</v>
          </cell>
          <cell r="AK43" t="str">
            <v>Suscripciones  </v>
          </cell>
          <cell r="AL43">
            <v>0</v>
          </cell>
        </row>
        <row r="44">
          <cell r="AJ44">
            <v>242507</v>
          </cell>
          <cell r="AK44" t="str">
            <v>Arrendamientos</v>
          </cell>
          <cell r="AL44">
            <v>0</v>
          </cell>
        </row>
        <row r="45">
          <cell r="AJ45">
            <v>242508</v>
          </cell>
          <cell r="AK45" t="str">
            <v>Viaticos y Gastos de Viaje</v>
          </cell>
          <cell r="AL45">
            <v>0</v>
          </cell>
        </row>
        <row r="46">
          <cell r="AJ46">
            <v>242510</v>
          </cell>
          <cell r="AK46" t="str">
            <v>Seguros</v>
          </cell>
          <cell r="AL46">
            <v>0</v>
          </cell>
        </row>
        <row r="47">
          <cell r="AJ47">
            <v>242518</v>
          </cell>
          <cell r="AK47" t="str">
            <v>Aportes a Fondos Pensionales</v>
          </cell>
          <cell r="AL47">
            <v>0</v>
          </cell>
        </row>
        <row r="48">
          <cell r="AJ48">
            <v>242519</v>
          </cell>
          <cell r="AK48" t="str">
            <v>Aportes a Seguridad Social</v>
          </cell>
          <cell r="AL48">
            <v>0</v>
          </cell>
        </row>
        <row r="49">
          <cell r="AJ49">
            <v>242520</v>
          </cell>
          <cell r="AK49" t="str">
            <v>Aportes al ICBF, SENA, CAJAS COMPENSACION</v>
          </cell>
          <cell r="AL49">
            <v>0</v>
          </cell>
        </row>
        <row r="50">
          <cell r="AJ50">
            <v>242521</v>
          </cell>
          <cell r="AK50" t="str">
            <v>Sindicatos</v>
          </cell>
          <cell r="AL50">
            <v>0</v>
          </cell>
        </row>
        <row r="51">
          <cell r="AJ51">
            <v>242522</v>
          </cell>
          <cell r="AK51" t="str">
            <v>Cooperativas</v>
          </cell>
          <cell r="AL51">
            <v>0</v>
          </cell>
        </row>
        <row r="52">
          <cell r="AJ52">
            <v>242523</v>
          </cell>
          <cell r="AK52" t="str">
            <v>Fondos de Empleados</v>
          </cell>
          <cell r="AL52">
            <v>0</v>
          </cell>
        </row>
        <row r="53">
          <cell r="AJ53">
            <v>242524</v>
          </cell>
          <cell r="AK53" t="str">
            <v>Embargos Judiciales</v>
          </cell>
          <cell r="AL53">
            <v>0</v>
          </cell>
        </row>
        <row r="54">
          <cell r="AJ54">
            <v>242526</v>
          </cell>
          <cell r="AK54" t="str">
            <v>Fondos mutuos</v>
          </cell>
          <cell r="AL54">
            <v>0</v>
          </cell>
        </row>
        <row r="55">
          <cell r="AJ55">
            <v>242529</v>
          </cell>
          <cell r="AK55" t="str">
            <v>Cheques no Cobrado o Pendientes Reclamar</v>
          </cell>
          <cell r="AL55">
            <v>0</v>
          </cell>
        </row>
        <row r="56">
          <cell r="AJ56">
            <v>242532</v>
          </cell>
          <cell r="AK56" t="str">
            <v>Aportes Riesgos Profesionales</v>
          </cell>
          <cell r="AL56">
            <v>0</v>
          </cell>
        </row>
        <row r="57">
          <cell r="AJ57">
            <v>242533</v>
          </cell>
          <cell r="AK57" t="str">
            <v>Fondo de solidaridad y garantia en Salud</v>
          </cell>
          <cell r="AL57">
            <v>0</v>
          </cell>
        </row>
        <row r="58">
          <cell r="AJ58">
            <v>242551</v>
          </cell>
          <cell r="AK58" t="str">
            <v>Comisiones  </v>
          </cell>
          <cell r="AL58">
            <v>0</v>
          </cell>
        </row>
        <row r="59">
          <cell r="AJ59">
            <v>242552</v>
          </cell>
          <cell r="AK59" t="str">
            <v>Honorarios</v>
          </cell>
          <cell r="AL59">
            <v>0</v>
          </cell>
        </row>
        <row r="60">
          <cell r="AJ60">
            <v>242553</v>
          </cell>
          <cell r="AK60" t="str">
            <v>Servicios</v>
          </cell>
          <cell r="AL60">
            <v>0</v>
          </cell>
        </row>
        <row r="61">
          <cell r="AJ61">
            <v>242590</v>
          </cell>
          <cell r="AK61" t="str">
            <v>Otros Acreedores</v>
          </cell>
          <cell r="AL61">
            <v>0</v>
          </cell>
        </row>
        <row r="62">
          <cell r="AJ62">
            <v>2430</v>
          </cell>
          <cell r="AK62" t="str">
            <v>SUBSIDIOS ASIGNADOS</v>
          </cell>
          <cell r="AL62">
            <v>0</v>
          </cell>
        </row>
        <row r="63">
          <cell r="AJ63">
            <v>2436</v>
          </cell>
          <cell r="AK63" t="str">
            <v>RETENCION EN LA FUENTE E IMPUESTO TIMBRE</v>
          </cell>
          <cell r="AL63">
            <v>0</v>
          </cell>
        </row>
        <row r="64">
          <cell r="AJ64">
            <v>2440</v>
          </cell>
          <cell r="AK64" t="str">
            <v>IMPUESTOS, CONTRIBUCIONES Y TASAS POR PAGAR</v>
          </cell>
          <cell r="AL64">
            <v>0</v>
          </cell>
        </row>
        <row r="65">
          <cell r="AJ65">
            <v>2445</v>
          </cell>
          <cell r="AK65" t="str">
            <v>IMPUESTO AL VALOR AGREGADO - IVA</v>
          </cell>
          <cell r="AL65">
            <v>0</v>
          </cell>
        </row>
        <row r="66">
          <cell r="AJ66">
            <v>2450</v>
          </cell>
          <cell r="AK66" t="str">
            <v>AVANCES Y ANTICIPOS RECIBIDOS</v>
          </cell>
          <cell r="AL66">
            <v>0</v>
          </cell>
        </row>
        <row r="67">
          <cell r="AJ67">
            <v>245001</v>
          </cell>
          <cell r="AK67" t="str">
            <v>Anticipos Sobre Ventas</v>
          </cell>
          <cell r="AL67">
            <v>0</v>
          </cell>
        </row>
        <row r="68">
          <cell r="AJ68">
            <v>245002</v>
          </cell>
          <cell r="AK68" t="str">
            <v>Anticipos sobre Proyectos Especificos</v>
          </cell>
          <cell r="AL68">
            <v>0</v>
          </cell>
        </row>
        <row r="69">
          <cell r="AJ69">
            <v>245003</v>
          </cell>
          <cell r="AK69" t="str">
            <v>Anticipos Sobre Convenios y Acuerdos</v>
          </cell>
          <cell r="AL69">
            <v>0</v>
          </cell>
        </row>
        <row r="70">
          <cell r="AJ70">
            <v>245090</v>
          </cell>
          <cell r="AK70" t="str">
            <v>Otros Avances y Anticipos</v>
          </cell>
          <cell r="AL70">
            <v>0</v>
          </cell>
        </row>
        <row r="71">
          <cell r="AJ71">
            <v>2455</v>
          </cell>
          <cell r="AK71" t="str">
            <v>DEPOSITOS RECIBIDOS EN GARANTIA</v>
          </cell>
          <cell r="AL71">
            <v>0</v>
          </cell>
        </row>
        <row r="72">
          <cell r="AJ72">
            <v>2460</v>
          </cell>
          <cell r="AK72" t="str">
            <v>CREDITOS JUDICIALES</v>
          </cell>
          <cell r="AL72">
            <v>0</v>
          </cell>
        </row>
        <row r="73">
          <cell r="AJ73">
            <v>2490</v>
          </cell>
          <cell r="AK73" t="str">
            <v>OTRAS CUENTAS POR PAGAR</v>
          </cell>
          <cell r="AL73">
            <v>0</v>
          </cell>
        </row>
        <row r="74">
          <cell r="AJ74">
            <v>249004</v>
          </cell>
          <cell r="AK74" t="str">
            <v>Cuotas Partes Pensionales</v>
          </cell>
          <cell r="AL74">
            <v>0</v>
          </cell>
        </row>
        <row r="75">
          <cell r="AJ75">
            <v>25</v>
          </cell>
          <cell r="AK75" t="str">
            <v>OBLIGACIONES LABORALES Y DE SEGURIDAD SOCIAL</v>
          </cell>
          <cell r="AL75">
            <v>0</v>
          </cell>
        </row>
        <row r="76">
          <cell r="AJ76">
            <v>250501</v>
          </cell>
          <cell r="AK76" t="str">
            <v>NOMINAS POR PAGAR</v>
          </cell>
          <cell r="AL76">
            <v>0</v>
          </cell>
        </row>
        <row r="77">
          <cell r="AJ77">
            <v>0</v>
          </cell>
          <cell r="AK77" t="str">
            <v>PRESTACIONES SOCIALES</v>
          </cell>
          <cell r="AL77">
            <v>0</v>
          </cell>
        </row>
        <row r="78">
          <cell r="AJ78">
            <v>250502</v>
          </cell>
          <cell r="AK78" t="str">
            <v>Cesantías por Pagar</v>
          </cell>
          <cell r="AL78">
            <v>0</v>
          </cell>
        </row>
        <row r="79">
          <cell r="AJ79">
            <v>250503</v>
          </cell>
          <cell r="AK79" t="str">
            <v>Intereses Sobre las Cesantias</v>
          </cell>
          <cell r="AL79">
            <v>0</v>
          </cell>
        </row>
        <row r="80">
          <cell r="AJ80">
            <v>250504</v>
          </cell>
          <cell r="AK80" t="str">
            <v>Vacaciones</v>
          </cell>
          <cell r="AL80">
            <v>0</v>
          </cell>
        </row>
        <row r="81">
          <cell r="AJ81">
            <v>250505</v>
          </cell>
          <cell r="AK81" t="str">
            <v>Prima de Vacaciones</v>
          </cell>
          <cell r="AL81">
            <v>0</v>
          </cell>
        </row>
        <row r="82">
          <cell r="AJ82">
            <v>250506</v>
          </cell>
          <cell r="AK82" t="str">
            <v>Prima de Servicios</v>
          </cell>
          <cell r="AL82">
            <v>0</v>
          </cell>
        </row>
        <row r="83">
          <cell r="AJ83">
            <v>250507</v>
          </cell>
          <cell r="AK83" t="str">
            <v>Prima de Navidad</v>
          </cell>
          <cell r="AL83">
            <v>0</v>
          </cell>
        </row>
        <row r="84">
          <cell r="AJ84" t="str">
            <v>2505…..</v>
          </cell>
          <cell r="AK84" t="str">
            <v>Otros Salarios y Prestaciones Sociales</v>
          </cell>
          <cell r="AL84">
            <v>0</v>
          </cell>
        </row>
        <row r="85">
          <cell r="AJ85">
            <v>2510</v>
          </cell>
          <cell r="AK85" t="str">
            <v>PENSIONES  Y PRESTACIONES ECONOMICAS POR PAGAR</v>
          </cell>
          <cell r="AL85">
            <v>0</v>
          </cell>
        </row>
        <row r="86">
          <cell r="AJ86">
            <v>27</v>
          </cell>
          <cell r="AK86" t="str">
            <v>PASIVOS ESTIMADOS</v>
          </cell>
          <cell r="AL86">
            <v>0</v>
          </cell>
        </row>
        <row r="87">
          <cell r="AJ87">
            <v>2710</v>
          </cell>
          <cell r="AK87" t="str">
            <v>PROVISION PARA CONTINGENCIAS</v>
          </cell>
          <cell r="AL87">
            <v>0</v>
          </cell>
        </row>
        <row r="88">
          <cell r="AJ88">
            <v>2715</v>
          </cell>
          <cell r="AK88" t="str">
            <v>PROVISION PARA PRESTACIONES SOCIALES</v>
          </cell>
          <cell r="AL88">
            <v>0</v>
          </cell>
        </row>
        <row r="89">
          <cell r="AJ89">
            <v>271501</v>
          </cell>
          <cell r="AK89" t="str">
            <v>Cesantías  </v>
          </cell>
          <cell r="AL89">
            <v>0</v>
          </cell>
        </row>
        <row r="90">
          <cell r="AJ90">
            <v>271502</v>
          </cell>
          <cell r="AK90" t="str">
            <v>Intereses Sobre las Cesantias</v>
          </cell>
          <cell r="AL90">
            <v>0</v>
          </cell>
        </row>
        <row r="91">
          <cell r="AJ91">
            <v>271503</v>
          </cell>
          <cell r="AK91" t="str">
            <v>Vacaciones</v>
          </cell>
          <cell r="AL91">
            <v>0</v>
          </cell>
        </row>
        <row r="92">
          <cell r="AJ92">
            <v>271504</v>
          </cell>
          <cell r="AK92" t="str">
            <v>Prima de Servicios</v>
          </cell>
          <cell r="AL92">
            <v>0</v>
          </cell>
        </row>
        <row r="93">
          <cell r="AJ93">
            <v>271505</v>
          </cell>
          <cell r="AK93" t="str">
            <v>Primas Extralegales</v>
          </cell>
          <cell r="AL93">
            <v>0</v>
          </cell>
        </row>
        <row r="94">
          <cell r="AJ94">
            <v>271506</v>
          </cell>
          <cell r="AK94" t="str">
            <v>Prima de Vacaciones</v>
          </cell>
          <cell r="AL94">
            <v>0</v>
          </cell>
        </row>
        <row r="95">
          <cell r="AJ95">
            <v>271509</v>
          </cell>
          <cell r="AK95" t="str">
            <v>Prima de Navidad</v>
          </cell>
          <cell r="AL95">
            <v>0</v>
          </cell>
        </row>
        <row r="96">
          <cell r="AJ96" t="str">
            <v>2715….</v>
          </cell>
          <cell r="AK96" t="str">
            <v>Otras Provisiones para Prestaciones Sociales</v>
          </cell>
          <cell r="AL96">
            <v>0</v>
          </cell>
        </row>
        <row r="97">
          <cell r="AJ97">
            <v>2720</v>
          </cell>
          <cell r="AK97" t="str">
            <v>PROVISION PARA PENSIONES</v>
          </cell>
          <cell r="AL97">
            <v>0</v>
          </cell>
        </row>
        <row r="98">
          <cell r="AJ98">
            <v>2721</v>
          </cell>
          <cell r="AK98" t="str">
            <v>PROVISION PARA BONOS PENSIONALES</v>
          </cell>
          <cell r="AL98">
            <v>0</v>
          </cell>
        </row>
        <row r="99">
          <cell r="AJ99">
            <v>2722</v>
          </cell>
          <cell r="AK99" t="str">
            <v>PASIVO PENSIONAL CONMUTADO</v>
          </cell>
          <cell r="AL99">
            <v>0</v>
          </cell>
        </row>
        <row r="100">
          <cell r="AJ100">
            <v>2725</v>
          </cell>
          <cell r="AK100" t="str">
            <v>PROVISION PARA SEGUROS Y REASEGUROS</v>
          </cell>
          <cell r="AL100">
            <v>0</v>
          </cell>
        </row>
        <row r="101">
          <cell r="AJ101">
            <v>2730</v>
          </cell>
          <cell r="AK101" t="str">
            <v>PROVISION FONDOS DE GARANTIAS</v>
          </cell>
          <cell r="AL101">
            <v>0</v>
          </cell>
        </row>
        <row r="102">
          <cell r="AJ102">
            <v>2790</v>
          </cell>
          <cell r="AK102" t="str">
            <v>PROVISIONES DIVERSAS</v>
          </cell>
          <cell r="AL102">
            <v>0</v>
          </cell>
        </row>
        <row r="103">
          <cell r="AJ103">
            <v>29</v>
          </cell>
          <cell r="AK103" t="str">
            <v>OTROS PASIVOS</v>
          </cell>
          <cell r="AL103">
            <v>0</v>
          </cell>
        </row>
        <row r="104">
          <cell r="AJ104">
            <v>2905</v>
          </cell>
          <cell r="AK104" t="str">
            <v>RECAUDOS A FAVOR DE TERCEROS</v>
          </cell>
          <cell r="AL104">
            <v>0</v>
          </cell>
        </row>
        <row r="105">
          <cell r="AJ105">
            <v>290590</v>
          </cell>
          <cell r="AK105" t="str">
            <v>OTROS RECAUDOS A FAVOR DE TERCEROS (Consignaciones sin identificar)</v>
          </cell>
          <cell r="AL105">
            <v>0</v>
          </cell>
        </row>
        <row r="106">
          <cell r="AJ106">
            <v>2910</v>
          </cell>
          <cell r="AK106" t="str">
            <v>INGRESOS RECIBIDOS POR ANTICIPADO</v>
          </cell>
          <cell r="AL106">
            <v>0</v>
          </cell>
        </row>
        <row r="107">
          <cell r="AJ107">
            <v>3</v>
          </cell>
          <cell r="AK107" t="str">
            <v>TOTAL PATRIMONIO</v>
          </cell>
          <cell r="AL107">
            <v>0</v>
          </cell>
        </row>
        <row r="108">
          <cell r="AJ108">
            <v>32</v>
          </cell>
          <cell r="AK108" t="str">
            <v>   PATRIMONIO INSTITUCIONAL</v>
          </cell>
          <cell r="AL108">
            <v>0</v>
          </cell>
        </row>
        <row r="109">
          <cell r="AJ109">
            <v>0</v>
          </cell>
          <cell r="AK109" t="str">
            <v>TOTAL PASIVO Y PATRIMONIO</v>
          </cell>
          <cell r="AL109">
            <v>0</v>
          </cell>
        </row>
        <row r="110">
          <cell r="AJ110">
            <v>0</v>
          </cell>
          <cell r="AK110">
            <v>0</v>
          </cell>
          <cell r="AL110">
            <v>0</v>
          </cell>
        </row>
        <row r="111">
          <cell r="AJ111">
            <v>0</v>
          </cell>
          <cell r="AK111">
            <v>0</v>
          </cell>
          <cell r="AL111">
            <v>0</v>
          </cell>
        </row>
        <row r="112">
          <cell r="AJ112">
            <v>0</v>
          </cell>
          <cell r="AK112">
            <v>0</v>
          </cell>
          <cell r="AL112">
            <v>0</v>
          </cell>
        </row>
        <row r="113">
          <cell r="AJ113">
            <v>0</v>
          </cell>
          <cell r="AK113">
            <v>0</v>
          </cell>
          <cell r="AL113">
            <v>0</v>
          </cell>
        </row>
        <row r="114">
          <cell r="AJ114">
            <v>0</v>
          </cell>
          <cell r="AK114">
            <v>0</v>
          </cell>
          <cell r="AL114">
            <v>0</v>
          </cell>
        </row>
        <row r="115">
          <cell r="AJ115">
            <v>0</v>
          </cell>
          <cell r="AK115">
            <v>0</v>
          </cell>
          <cell r="AL115">
            <v>0</v>
          </cell>
        </row>
        <row r="116">
          <cell r="AJ116">
            <v>0</v>
          </cell>
          <cell r="AK116">
            <v>0</v>
          </cell>
          <cell r="AL116">
            <v>0</v>
          </cell>
        </row>
        <row r="117">
          <cell r="AJ117">
            <v>0</v>
          </cell>
          <cell r="AK117">
            <v>0</v>
          </cell>
          <cell r="AL117">
            <v>0</v>
          </cell>
        </row>
        <row r="118">
          <cell r="AJ118">
            <v>0</v>
          </cell>
          <cell r="AK118">
            <v>0</v>
          </cell>
          <cell r="AL118">
            <v>0</v>
          </cell>
        </row>
        <row r="119">
          <cell r="AJ119">
            <v>0</v>
          </cell>
          <cell r="AK119">
            <v>0</v>
          </cell>
          <cell r="AL119">
            <v>0</v>
          </cell>
        </row>
        <row r="120">
          <cell r="AJ120">
            <v>0</v>
          </cell>
          <cell r="AK120">
            <v>0</v>
          </cell>
          <cell r="AL120">
            <v>0</v>
          </cell>
        </row>
        <row r="121">
          <cell r="AJ121">
            <v>0</v>
          </cell>
          <cell r="AK121">
            <v>0</v>
          </cell>
          <cell r="AL121">
            <v>0</v>
          </cell>
        </row>
        <row r="122">
          <cell r="AJ122">
            <v>0</v>
          </cell>
          <cell r="AK122">
            <v>0</v>
          </cell>
          <cell r="AL122">
            <v>0</v>
          </cell>
        </row>
        <row r="123">
          <cell r="AJ123">
            <v>0</v>
          </cell>
          <cell r="AK123">
            <v>0</v>
          </cell>
          <cell r="AL123">
            <v>0</v>
          </cell>
        </row>
        <row r="124">
          <cell r="AJ124">
            <v>0</v>
          </cell>
          <cell r="AK124">
            <v>0</v>
          </cell>
          <cell r="AL124">
            <v>0</v>
          </cell>
        </row>
        <row r="125">
          <cell r="AJ125">
            <v>0</v>
          </cell>
          <cell r="AK125">
            <v>0</v>
          </cell>
          <cell r="AL125">
            <v>0</v>
          </cell>
        </row>
        <row r="126">
          <cell r="AJ126">
            <v>0</v>
          </cell>
          <cell r="AK126">
            <v>0</v>
          </cell>
          <cell r="AL126">
            <v>0</v>
          </cell>
        </row>
        <row r="127">
          <cell r="AJ127">
            <v>0</v>
          </cell>
          <cell r="AK127">
            <v>0</v>
          </cell>
          <cell r="AL127">
            <v>0</v>
          </cell>
        </row>
        <row r="128">
          <cell r="AJ128">
            <v>0</v>
          </cell>
          <cell r="AK128">
            <v>0</v>
          </cell>
          <cell r="AL128">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2.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3.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4.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Hoja9">
    <tabColor rgb="FFFFC000"/>
  </sheetPr>
  <dimension ref="A1:I17"/>
  <sheetViews>
    <sheetView zoomScale="80" zoomScaleNormal="80" zoomScalePageLayoutView="0" workbookViewId="0" topLeftCell="A1">
      <selection activeCell="M11" sqref="M11"/>
    </sheetView>
  </sheetViews>
  <sheetFormatPr defaultColWidth="11.421875" defaultRowHeight="12.75"/>
  <cols>
    <col min="8" max="8" width="14.8515625" style="0" customWidth="1"/>
  </cols>
  <sheetData>
    <row r="1" spans="1:9" ht="15">
      <c r="A1" s="635" t="s">
        <v>551</v>
      </c>
      <c r="B1" s="635"/>
      <c r="C1" s="635"/>
      <c r="D1" s="635"/>
      <c r="E1" s="635"/>
      <c r="F1" s="635"/>
      <c r="G1" s="635"/>
      <c r="H1" s="635"/>
      <c r="I1" s="635"/>
    </row>
    <row r="2" ht="12.75" customHeight="1">
      <c r="A2" s="408"/>
    </row>
    <row r="3" spans="1:8" ht="12.75" customHeight="1">
      <c r="A3" s="635" t="s">
        <v>552</v>
      </c>
      <c r="B3" s="635"/>
      <c r="C3" s="635"/>
      <c r="D3" s="635"/>
      <c r="E3" s="635"/>
      <c r="F3" s="635"/>
      <c r="G3" s="635"/>
      <c r="H3" s="635"/>
    </row>
    <row r="4" ht="15">
      <c r="A4" s="408"/>
    </row>
    <row r="5" spans="1:8" ht="15">
      <c r="A5" s="635" t="s">
        <v>649</v>
      </c>
      <c r="B5" s="635"/>
      <c r="C5" s="635"/>
      <c r="D5" s="635"/>
      <c r="E5" s="635"/>
      <c r="F5" s="635"/>
      <c r="G5" s="635"/>
      <c r="H5" s="635"/>
    </row>
    <row r="6" ht="14.25">
      <c r="A6" s="407"/>
    </row>
    <row r="7" ht="14.25">
      <c r="A7" s="409" t="s">
        <v>549</v>
      </c>
    </row>
    <row r="8" ht="21" customHeight="1">
      <c r="A8" s="407"/>
    </row>
    <row r="9" spans="1:9" ht="31.5" customHeight="1">
      <c r="A9" s="636" t="s">
        <v>623</v>
      </c>
      <c r="B9" s="637"/>
      <c r="C9" s="637"/>
      <c r="D9" s="637"/>
      <c r="E9" s="637"/>
      <c r="F9" s="637"/>
      <c r="G9" s="637"/>
      <c r="H9" s="637"/>
      <c r="I9" s="638"/>
    </row>
    <row r="10" spans="1:9" ht="23.25" customHeight="1">
      <c r="A10" s="639"/>
      <c r="B10" s="640"/>
      <c r="C10" s="640"/>
      <c r="D10" s="640"/>
      <c r="E10" s="640"/>
      <c r="F10" s="640"/>
      <c r="G10" s="640"/>
      <c r="H10" s="640"/>
      <c r="I10" s="641"/>
    </row>
    <row r="11" spans="1:9" ht="18" customHeight="1">
      <c r="A11" s="642" t="s">
        <v>550</v>
      </c>
      <c r="B11" s="643"/>
      <c r="C11" s="643"/>
      <c r="D11" s="643"/>
      <c r="E11" s="643"/>
      <c r="F11" s="643"/>
      <c r="G11" s="643"/>
      <c r="H11" s="643"/>
      <c r="I11" s="644"/>
    </row>
    <row r="12" spans="1:9" ht="22.5" customHeight="1">
      <c r="A12" s="645"/>
      <c r="B12" s="646"/>
      <c r="C12" s="646"/>
      <c r="D12" s="646"/>
      <c r="E12" s="646"/>
      <c r="F12" s="646"/>
      <c r="G12" s="646"/>
      <c r="H12" s="646"/>
      <c r="I12" s="647"/>
    </row>
    <row r="13" spans="1:9" ht="24" customHeight="1">
      <c r="A13" s="629" t="s">
        <v>570</v>
      </c>
      <c r="B13" s="630"/>
      <c r="C13" s="630"/>
      <c r="D13" s="630"/>
      <c r="E13" s="630"/>
      <c r="F13" s="630"/>
      <c r="G13" s="630"/>
      <c r="H13" s="630"/>
      <c r="I13" s="631"/>
    </row>
    <row r="14" spans="1:9" ht="51.75" customHeight="1">
      <c r="A14" s="632"/>
      <c r="B14" s="633"/>
      <c r="C14" s="633"/>
      <c r="D14" s="633"/>
      <c r="E14" s="633"/>
      <c r="F14" s="633"/>
      <c r="G14" s="633"/>
      <c r="H14" s="633"/>
      <c r="I14" s="634"/>
    </row>
    <row r="15" spans="1:9" ht="42" customHeight="1">
      <c r="A15" s="628" t="s">
        <v>571</v>
      </c>
      <c r="B15" s="628"/>
      <c r="C15" s="628"/>
      <c r="D15" s="628"/>
      <c r="E15" s="628"/>
      <c r="F15" s="628"/>
      <c r="G15" s="628"/>
      <c r="H15" s="628"/>
      <c r="I15" s="628"/>
    </row>
    <row r="16" spans="1:9" ht="32.25" customHeight="1">
      <c r="A16" s="626" t="s">
        <v>624</v>
      </c>
      <c r="B16" s="626"/>
      <c r="C16" s="626"/>
      <c r="D16" s="626"/>
      <c r="E16" s="626"/>
      <c r="F16" s="626"/>
      <c r="G16" s="626"/>
      <c r="H16" s="626"/>
      <c r="I16" s="626"/>
    </row>
    <row r="17" spans="1:9" ht="34.5" customHeight="1">
      <c r="A17" s="627" t="s">
        <v>625</v>
      </c>
      <c r="B17" s="627"/>
      <c r="C17" s="627"/>
      <c r="D17" s="627"/>
      <c r="E17" s="627"/>
      <c r="F17" s="627"/>
      <c r="G17" s="627"/>
      <c r="H17" s="627"/>
      <c r="I17" s="627"/>
    </row>
  </sheetData>
  <sheetProtection/>
  <mergeCells count="9">
    <mergeCell ref="A16:I16"/>
    <mergeCell ref="A17:I17"/>
    <mergeCell ref="A15:I15"/>
    <mergeCell ref="A13:I14"/>
    <mergeCell ref="A1:I1"/>
    <mergeCell ref="A3:H3"/>
    <mergeCell ref="A5:H5"/>
    <mergeCell ref="A9:I10"/>
    <mergeCell ref="A11:I12"/>
  </mergeCells>
  <printOptions/>
  <pageMargins left="0.7" right="0.7" top="0.75" bottom="0.75" header="0.3" footer="0.3"/>
  <pageSetup horizontalDpi="600" verticalDpi="600" orientation="portrait" r:id="rId1"/>
</worksheet>
</file>

<file path=xl/worksheets/sheet10.xml><?xml version="1.0" encoding="utf-8"?>
<worksheet xmlns="http://schemas.openxmlformats.org/spreadsheetml/2006/main" xmlns:r="http://schemas.openxmlformats.org/officeDocument/2006/relationships">
  <sheetPr codeName="Hoja10">
    <tabColor rgb="FFFFFF00"/>
  </sheetPr>
  <dimension ref="A1:N39"/>
  <sheetViews>
    <sheetView zoomScale="90" zoomScaleNormal="90" zoomScalePageLayoutView="0" workbookViewId="0" topLeftCell="A4">
      <selection activeCell="D19" sqref="D19"/>
    </sheetView>
  </sheetViews>
  <sheetFormatPr defaultColWidth="11.421875" defaultRowHeight="12.75"/>
  <cols>
    <col min="1" max="1" width="2.00390625" style="0" customWidth="1"/>
    <col min="2" max="2" width="5.00390625" style="0" customWidth="1"/>
    <col min="3" max="3" width="55.7109375" style="0" customWidth="1"/>
    <col min="4" max="4" width="13.8515625" style="0" customWidth="1"/>
    <col min="5" max="5" width="5.7109375" style="0" customWidth="1"/>
    <col min="6" max="6" width="6.140625" style="0" customWidth="1"/>
    <col min="7" max="7" width="6.421875" style="0" customWidth="1"/>
    <col min="8" max="8" width="5.421875" style="0" customWidth="1"/>
    <col min="9" max="9" width="5.140625" style="0" customWidth="1"/>
    <col min="10" max="10" width="5.8515625" style="0" customWidth="1"/>
    <col min="11" max="11" width="9.8515625" style="0" customWidth="1"/>
    <col min="12" max="12" width="6.421875" style="0" customWidth="1"/>
    <col min="13" max="13" width="3.7109375" style="0" customWidth="1"/>
    <col min="14" max="14" width="5.7109375" style="0" customWidth="1"/>
  </cols>
  <sheetData>
    <row r="1" spans="1:14" ht="12.75">
      <c r="A1" s="54"/>
      <c r="B1" s="54"/>
      <c r="C1" s="124"/>
      <c r="D1" s="54"/>
      <c r="E1" s="54"/>
      <c r="F1" s="54"/>
      <c r="G1" s="54"/>
      <c r="H1" s="54"/>
      <c r="I1" s="54"/>
      <c r="J1" s="54"/>
      <c r="K1" s="54"/>
      <c r="L1" s="125"/>
      <c r="M1" s="54"/>
      <c r="N1" s="54"/>
    </row>
    <row r="2" spans="1:14" ht="81" customHeight="1">
      <c r="A2" s="54"/>
      <c r="B2" s="766" t="s">
        <v>651</v>
      </c>
      <c r="C2" s="766"/>
      <c r="D2" s="766"/>
      <c r="E2" s="766"/>
      <c r="F2" s="766"/>
      <c r="G2" s="766"/>
      <c r="H2" s="766"/>
      <c r="I2" s="766"/>
      <c r="J2" s="766"/>
      <c r="K2" s="766"/>
      <c r="L2" s="766"/>
      <c r="M2" s="766"/>
      <c r="N2" s="766"/>
    </row>
    <row r="3" spans="1:14" ht="12.75">
      <c r="A3" s="54"/>
      <c r="B3" s="54"/>
      <c r="C3" s="124"/>
      <c r="D3" s="54"/>
      <c r="E3" s="54"/>
      <c r="F3" s="54"/>
      <c r="G3" s="54"/>
      <c r="H3" s="54"/>
      <c r="I3" s="54"/>
      <c r="J3" s="54"/>
      <c r="K3" s="54"/>
      <c r="L3" s="125"/>
      <c r="M3" s="54"/>
      <c r="N3" s="54"/>
    </row>
    <row r="4" spans="1:14" ht="13.5" thickBot="1">
      <c r="A4" s="54"/>
      <c r="B4" s="54"/>
      <c r="C4" s="124"/>
      <c r="D4" s="54"/>
      <c r="E4" s="54"/>
      <c r="F4" s="54"/>
      <c r="G4" s="54"/>
      <c r="H4" s="54"/>
      <c r="I4" s="54"/>
      <c r="J4" s="54"/>
      <c r="K4" s="54"/>
      <c r="L4" s="125"/>
      <c r="M4" s="54"/>
      <c r="N4" s="54"/>
    </row>
    <row r="5" spans="1:14" ht="33" customHeight="1">
      <c r="A5" s="54"/>
      <c r="B5" s="126"/>
      <c r="C5" s="127"/>
      <c r="D5" s="128"/>
      <c r="E5" s="128"/>
      <c r="F5" s="128"/>
      <c r="G5" s="128"/>
      <c r="H5" s="128"/>
      <c r="I5" s="128"/>
      <c r="J5" s="128"/>
      <c r="K5" s="128"/>
      <c r="L5" s="129"/>
      <c r="M5" s="128"/>
      <c r="N5" s="130"/>
    </row>
    <row r="6" spans="1:14" ht="18.75" customHeight="1">
      <c r="A6" s="54"/>
      <c r="B6" s="761" t="str">
        <f>+CONCATENATE("El Gerente de la ESE HOSPITAL ",'Información general'!B4," del Municipio de ",'Información general'!B3," certifica que para la vigencia comprendida entre el 01 de Enero y el 31 de Diciembre de ",'Información general'!C5," se han asignado los recursos correspondientes al 5% de los ingresos para las actividades de mantenimiento hospitalario.  De acuerdo al siguiente detalle:")</f>
        <v>El Gerente de la ESE HOSPITAL ESE HOSPITAL SAN RAFAEL DE ITAGUI del Municipio de ITAGUI certifica que para la vigencia comprendida entre el 01 de Enero y el 31 de Diciembre de 2021 se han asignado los recursos correspondientes al 5% de los ingresos para las actividades de mantenimiento hospitalario.  De acuerdo al siguiente detalle:</v>
      </c>
      <c r="C6" s="762"/>
      <c r="D6" s="762"/>
      <c r="E6" s="762"/>
      <c r="F6" s="762"/>
      <c r="G6" s="762"/>
      <c r="H6" s="762"/>
      <c r="I6" s="762"/>
      <c r="J6" s="762"/>
      <c r="K6" s="762"/>
      <c r="L6" s="762"/>
      <c r="M6" s="762"/>
      <c r="N6" s="763"/>
    </row>
    <row r="7" spans="2:14" ht="19.5" customHeight="1">
      <c r="B7" s="761"/>
      <c r="C7" s="762"/>
      <c r="D7" s="762"/>
      <c r="E7" s="762"/>
      <c r="F7" s="762"/>
      <c r="G7" s="762"/>
      <c r="H7" s="762"/>
      <c r="I7" s="762"/>
      <c r="J7" s="762"/>
      <c r="K7" s="762"/>
      <c r="L7" s="762"/>
      <c r="M7" s="762"/>
      <c r="N7" s="763"/>
    </row>
    <row r="8" spans="1:14" ht="21" customHeight="1">
      <c r="A8" s="54"/>
      <c r="B8" s="761"/>
      <c r="C8" s="762"/>
      <c r="D8" s="762"/>
      <c r="E8" s="762"/>
      <c r="F8" s="762"/>
      <c r="G8" s="762"/>
      <c r="H8" s="762"/>
      <c r="I8" s="762"/>
      <c r="J8" s="762"/>
      <c r="K8" s="762"/>
      <c r="L8" s="762"/>
      <c r="M8" s="762"/>
      <c r="N8" s="763"/>
    </row>
    <row r="9" spans="1:14" ht="12.75" customHeight="1">
      <c r="A9" s="54"/>
      <c r="B9" s="416"/>
      <c r="C9" s="411"/>
      <c r="D9" s="411"/>
      <c r="E9" s="411"/>
      <c r="F9" s="411"/>
      <c r="G9" s="411"/>
      <c r="H9" s="411"/>
      <c r="I9" s="411"/>
      <c r="J9" s="411"/>
      <c r="K9" s="411"/>
      <c r="L9" s="411"/>
      <c r="M9" s="411"/>
      <c r="N9" s="146"/>
    </row>
    <row r="10" spans="1:14" ht="19.5" thickBot="1">
      <c r="A10" s="54"/>
      <c r="B10" s="2"/>
      <c r="C10" s="436"/>
      <c r="D10" s="437"/>
      <c r="E10" s="414"/>
      <c r="F10" s="410"/>
      <c r="G10" s="415"/>
      <c r="H10" s="415"/>
      <c r="I10" s="415"/>
      <c r="J10" s="767"/>
      <c r="K10" s="767"/>
      <c r="L10" s="412"/>
      <c r="M10" s="413"/>
      <c r="N10" s="132"/>
    </row>
    <row r="11" spans="2:14" ht="13.5" thickTop="1">
      <c r="B11" s="2"/>
      <c r="C11" s="764" t="s">
        <v>561</v>
      </c>
      <c r="D11" s="765"/>
      <c r="E11" s="3"/>
      <c r="F11" s="3"/>
      <c r="G11" s="3"/>
      <c r="H11" s="3"/>
      <c r="I11" s="3"/>
      <c r="J11" s="3"/>
      <c r="K11" s="3"/>
      <c r="L11" s="3"/>
      <c r="M11" s="3"/>
      <c r="N11" s="1"/>
    </row>
    <row r="12" spans="2:14" ht="14.25">
      <c r="B12" s="2"/>
      <c r="C12" s="422" t="s">
        <v>553</v>
      </c>
      <c r="D12" s="423">
        <f>+'Presupuesto equilibrado'!C8</f>
        <v>49154543228.18851</v>
      </c>
      <c r="E12" s="3"/>
      <c r="F12" s="3"/>
      <c r="G12" s="3"/>
      <c r="H12" s="3"/>
      <c r="I12" s="3"/>
      <c r="J12" s="3"/>
      <c r="K12" s="3"/>
      <c r="L12" s="3"/>
      <c r="M12" s="3"/>
      <c r="N12" s="1"/>
    </row>
    <row r="13" spans="2:14" ht="14.25">
      <c r="B13" s="2"/>
      <c r="C13" s="422" t="s">
        <v>554</v>
      </c>
      <c r="D13" s="423">
        <f>+'Presupuesto equilibrado'!C10</f>
        <v>0</v>
      </c>
      <c r="E13" s="3"/>
      <c r="F13" s="3"/>
      <c r="G13" s="3"/>
      <c r="H13" s="3"/>
      <c r="I13" s="3"/>
      <c r="J13" s="3"/>
      <c r="K13" s="3"/>
      <c r="L13" s="3"/>
      <c r="M13" s="3"/>
      <c r="N13" s="1"/>
    </row>
    <row r="14" spans="2:14" ht="14.25">
      <c r="B14" s="2"/>
      <c r="C14" s="422" t="s">
        <v>555</v>
      </c>
      <c r="D14" s="423">
        <f>+'Presupuesto equilibrado'!C97</f>
        <v>0</v>
      </c>
      <c r="E14" s="3"/>
      <c r="F14" s="3"/>
      <c r="G14" s="3"/>
      <c r="H14" s="3"/>
      <c r="I14" s="3"/>
      <c r="J14" s="3"/>
      <c r="K14" s="3"/>
      <c r="L14" s="3"/>
      <c r="M14" s="3"/>
      <c r="N14" s="1"/>
    </row>
    <row r="15" spans="2:14" ht="17.25" customHeight="1">
      <c r="B15" s="2"/>
      <c r="C15" s="422" t="s">
        <v>556</v>
      </c>
      <c r="D15" s="423">
        <f>+'Presupuesto equilibrado'!C116</f>
        <v>14599786768.188507</v>
      </c>
      <c r="E15" s="3"/>
      <c r="F15" s="3"/>
      <c r="G15" s="3"/>
      <c r="H15" s="3"/>
      <c r="I15" s="3"/>
      <c r="J15" s="3"/>
      <c r="K15" s="3"/>
      <c r="L15" s="3"/>
      <c r="M15" s="3"/>
      <c r="N15" s="1"/>
    </row>
    <row r="16" spans="2:14" ht="16.5" customHeight="1">
      <c r="B16" s="2"/>
      <c r="C16" s="72" t="s">
        <v>562</v>
      </c>
      <c r="D16" s="423">
        <f>+'Presupuesto equilibrado'!C131</f>
        <v>14596560688.188507</v>
      </c>
      <c r="E16" s="3"/>
      <c r="F16" s="3"/>
      <c r="G16" s="3"/>
      <c r="H16" s="3"/>
      <c r="I16" s="3"/>
      <c r="J16" s="3"/>
      <c r="K16" s="3"/>
      <c r="L16" s="3"/>
      <c r="M16" s="3"/>
      <c r="N16" s="1"/>
    </row>
    <row r="17" spans="2:14" ht="13.5" thickBot="1">
      <c r="B17" s="2"/>
      <c r="C17" s="438" t="s">
        <v>557</v>
      </c>
      <c r="D17" s="435">
        <f>+D12-D13-D14-D15-D16</f>
        <v>19958195771.811493</v>
      </c>
      <c r="E17" s="3"/>
      <c r="F17" s="3"/>
      <c r="G17" s="3"/>
      <c r="H17" s="3"/>
      <c r="I17" s="3"/>
      <c r="J17" s="3"/>
      <c r="K17" s="3"/>
      <c r="L17" s="3"/>
      <c r="M17" s="3"/>
      <c r="N17" s="1"/>
    </row>
    <row r="18" spans="2:14" ht="13.5" thickTop="1">
      <c r="B18" s="2"/>
      <c r="C18" s="72"/>
      <c r="D18" s="424"/>
      <c r="E18" s="3"/>
      <c r="F18" s="3"/>
      <c r="G18" s="3"/>
      <c r="H18" s="3"/>
      <c r="I18" s="3"/>
      <c r="J18" s="3"/>
      <c r="K18" s="3"/>
      <c r="L18" s="3"/>
      <c r="M18" s="3"/>
      <c r="N18" s="1"/>
    </row>
    <row r="19" spans="2:14" ht="13.5" thickBot="1">
      <c r="B19" s="2"/>
      <c r="C19" s="438" t="s">
        <v>558</v>
      </c>
      <c r="D19" s="435">
        <f>+D17*0.05</f>
        <v>997909788.5905747</v>
      </c>
      <c r="E19" s="3"/>
      <c r="F19" s="3"/>
      <c r="G19" s="3"/>
      <c r="H19" s="3"/>
      <c r="I19" s="3"/>
      <c r="J19" s="3"/>
      <c r="K19" s="3"/>
      <c r="L19" s="3"/>
      <c r="M19" s="3"/>
      <c r="N19" s="1"/>
    </row>
    <row r="20" spans="2:14" ht="13.5" thickTop="1">
      <c r="B20" s="2"/>
      <c r="C20" s="72"/>
      <c r="D20" s="424"/>
      <c r="E20" s="3"/>
      <c r="F20" s="3"/>
      <c r="G20" s="3"/>
      <c r="H20" s="3"/>
      <c r="I20" s="3"/>
      <c r="J20" s="3"/>
      <c r="K20" s="3"/>
      <c r="L20" s="3"/>
      <c r="M20" s="3"/>
      <c r="N20" s="1"/>
    </row>
    <row r="21" spans="2:14" ht="15" customHeight="1">
      <c r="B21" s="2"/>
      <c r="C21" s="425" t="s">
        <v>563</v>
      </c>
      <c r="D21" s="426"/>
      <c r="E21" s="3"/>
      <c r="F21" s="3"/>
      <c r="G21" s="3"/>
      <c r="H21" s="3"/>
      <c r="I21" s="3"/>
      <c r="J21" s="3"/>
      <c r="K21" s="3"/>
      <c r="L21" s="3"/>
      <c r="M21" s="3"/>
      <c r="N21" s="1"/>
    </row>
    <row r="22" spans="2:14" ht="16.5" customHeight="1">
      <c r="B22" s="2"/>
      <c r="C22" s="72" t="s">
        <v>559</v>
      </c>
      <c r="D22" s="427">
        <f>+'Presupuesto equilibrado'!C280</f>
        <v>863868912</v>
      </c>
      <c r="E22" s="3"/>
      <c r="F22" s="3"/>
      <c r="G22" s="3"/>
      <c r="H22" s="3"/>
      <c r="I22" s="3"/>
      <c r="J22" s="3"/>
      <c r="K22" s="3"/>
      <c r="L22" s="3"/>
      <c r="M22" s="3"/>
      <c r="N22" s="1"/>
    </row>
    <row r="23" spans="2:14" ht="16.5" customHeight="1">
      <c r="B23" s="2"/>
      <c r="C23" s="72" t="s">
        <v>560</v>
      </c>
      <c r="D23" s="427">
        <f>+'Presupuesto equilibrado'!C288</f>
        <v>863868912</v>
      </c>
      <c r="E23" s="3"/>
      <c r="F23" s="3"/>
      <c r="G23" s="3"/>
      <c r="H23" s="3"/>
      <c r="I23" s="3"/>
      <c r="J23" s="3"/>
      <c r="K23" s="3"/>
      <c r="L23" s="3"/>
      <c r="M23" s="3"/>
      <c r="N23" s="1"/>
    </row>
    <row r="24" spans="2:14" ht="16.5" customHeight="1" thickBot="1">
      <c r="B24" s="2"/>
      <c r="C24" s="434"/>
      <c r="D24" s="435">
        <f>SUM(D22:D23)</f>
        <v>1727737824</v>
      </c>
      <c r="E24" s="3"/>
      <c r="F24" s="3"/>
      <c r="G24" s="3"/>
      <c r="H24" s="3"/>
      <c r="I24" s="3"/>
      <c r="J24" s="3"/>
      <c r="K24" s="3"/>
      <c r="L24" s="3"/>
      <c r="M24" s="3"/>
      <c r="N24" s="1"/>
    </row>
    <row r="25" spans="2:14" ht="16.5" customHeight="1" thickTop="1">
      <c r="B25" s="2"/>
      <c r="C25" s="131"/>
      <c r="D25" s="428"/>
      <c r="E25" s="3"/>
      <c r="F25" s="3"/>
      <c r="G25" s="3"/>
      <c r="H25" s="3"/>
      <c r="I25" s="3"/>
      <c r="J25" s="3"/>
      <c r="K25" s="3"/>
      <c r="L25" s="3"/>
      <c r="M25" s="3"/>
      <c r="N25" s="1"/>
    </row>
    <row r="26" spans="2:14" ht="13.5" thickBot="1">
      <c r="B26" s="2"/>
      <c r="C26" s="429" t="str">
        <f>+IF(D24&lt;D19," ATENCION NO HA ASIGNADO EL 5% DE INGRESOS AL MANTENIMIENTO HOSPITALARIO"," ")</f>
        <v> </v>
      </c>
      <c r="D26" s="439">
        <f>+D24/D17</f>
        <v>0.0865678362790798</v>
      </c>
      <c r="E26" s="3"/>
      <c r="F26" s="3"/>
      <c r="G26" s="3"/>
      <c r="H26" s="3"/>
      <c r="I26" s="3"/>
      <c r="J26" s="3"/>
      <c r="K26" s="3"/>
      <c r="L26" s="3"/>
      <c r="M26" s="3"/>
      <c r="N26" s="1"/>
    </row>
    <row r="27" spans="2:14" ht="13.5" thickTop="1">
      <c r="B27" s="2"/>
      <c r="C27" s="3"/>
      <c r="D27" s="3"/>
      <c r="E27" s="3"/>
      <c r="F27" s="3"/>
      <c r="G27" s="3"/>
      <c r="H27" s="3"/>
      <c r="I27" s="3"/>
      <c r="J27" s="3"/>
      <c r="K27" s="3"/>
      <c r="L27" s="3"/>
      <c r="M27" s="3"/>
      <c r="N27" s="1"/>
    </row>
    <row r="28" spans="2:14" ht="12.75">
      <c r="B28" s="2"/>
      <c r="C28" s="431"/>
      <c r="D28" s="431"/>
      <c r="E28" s="431"/>
      <c r="F28" s="431"/>
      <c r="G28" s="431"/>
      <c r="H28" s="431"/>
      <c r="I28" s="431"/>
      <c r="J28" s="431"/>
      <c r="K28" s="431"/>
      <c r="L28" s="431"/>
      <c r="M28" s="431"/>
      <c r="N28" s="432"/>
    </row>
    <row r="29" spans="2:14" ht="12.75">
      <c r="B29" s="2"/>
      <c r="C29" s="433" t="s">
        <v>652</v>
      </c>
      <c r="D29" s="431"/>
      <c r="E29" s="431"/>
      <c r="F29" s="431"/>
      <c r="G29" s="431"/>
      <c r="H29" s="431"/>
      <c r="I29" s="431"/>
      <c r="J29" s="431"/>
      <c r="K29" s="431"/>
      <c r="L29" s="431"/>
      <c r="M29" s="431"/>
      <c r="N29" s="432"/>
    </row>
    <row r="30" spans="2:14" ht="12.75">
      <c r="B30" s="2"/>
      <c r="C30" s="431"/>
      <c r="D30" s="431"/>
      <c r="E30" s="431"/>
      <c r="F30" s="431"/>
      <c r="G30" s="431"/>
      <c r="H30" s="431"/>
      <c r="I30" s="431"/>
      <c r="J30" s="431"/>
      <c r="K30" s="431"/>
      <c r="L30" s="431"/>
      <c r="M30" s="431"/>
      <c r="N30" s="432"/>
    </row>
    <row r="31" spans="2:14" ht="12.75">
      <c r="B31" s="2"/>
      <c r="C31" s="431"/>
      <c r="D31" s="431"/>
      <c r="E31" s="431"/>
      <c r="F31" s="431"/>
      <c r="G31" s="431"/>
      <c r="H31" s="431"/>
      <c r="I31" s="431"/>
      <c r="J31" s="431"/>
      <c r="K31" s="431"/>
      <c r="L31" s="431"/>
      <c r="M31" s="431"/>
      <c r="N31" s="432"/>
    </row>
    <row r="32" spans="2:14" ht="12.75">
      <c r="B32" s="2"/>
      <c r="C32" s="431"/>
      <c r="D32" s="431"/>
      <c r="E32" s="431"/>
      <c r="F32" s="431"/>
      <c r="G32" s="431"/>
      <c r="H32" s="431"/>
      <c r="I32" s="431"/>
      <c r="J32" s="431"/>
      <c r="K32" s="431"/>
      <c r="L32" s="431"/>
      <c r="M32" s="431"/>
      <c r="N32" s="432"/>
    </row>
    <row r="33" spans="2:14" ht="12.75">
      <c r="B33" s="2"/>
      <c r="C33" s="431"/>
      <c r="D33" s="431"/>
      <c r="E33" s="431"/>
      <c r="F33" s="431"/>
      <c r="G33" s="431"/>
      <c r="H33" s="431"/>
      <c r="I33" s="431"/>
      <c r="J33" s="431"/>
      <c r="K33" s="431"/>
      <c r="L33" s="431"/>
      <c r="M33" s="431"/>
      <c r="N33" s="432"/>
    </row>
    <row r="34" spans="2:14" ht="12.75">
      <c r="B34" s="2"/>
      <c r="C34" s="433" t="s">
        <v>605</v>
      </c>
      <c r="D34" s="431"/>
      <c r="E34" s="431"/>
      <c r="F34" s="431"/>
      <c r="G34" s="431"/>
      <c r="H34" s="431"/>
      <c r="I34" s="431"/>
      <c r="J34" s="431"/>
      <c r="K34" s="431"/>
      <c r="L34" s="431"/>
      <c r="M34" s="431"/>
      <c r="N34" s="432"/>
    </row>
    <row r="35" spans="2:14" ht="12.75">
      <c r="B35" s="2"/>
      <c r="C35" s="420"/>
      <c r="D35" s="3"/>
      <c r="E35" s="3"/>
      <c r="F35" s="3"/>
      <c r="G35" s="3"/>
      <c r="H35" s="3"/>
      <c r="I35" s="3"/>
      <c r="J35" s="3"/>
      <c r="K35" s="3"/>
      <c r="L35" s="3"/>
      <c r="M35" s="3"/>
      <c r="N35" s="1"/>
    </row>
    <row r="36" spans="2:14" ht="29.25" customHeight="1">
      <c r="B36" s="2"/>
      <c r="C36" s="421" t="str">
        <f>+CONCATENATE("GERENTE ESE HOSPITAL ",'Información general'!B4," - ",'Información general'!B3,)</f>
        <v>GERENTE ESE HOSPITAL ESE HOSPITAL SAN RAFAEL DE ITAGUI - ITAGUI</v>
      </c>
      <c r="D36" s="3"/>
      <c r="E36" s="3"/>
      <c r="F36" s="3"/>
      <c r="G36" s="3"/>
      <c r="H36" s="3"/>
      <c r="I36" s="3"/>
      <c r="J36" s="3"/>
      <c r="K36" s="3"/>
      <c r="L36" s="3"/>
      <c r="M36" s="3"/>
      <c r="N36" s="1"/>
    </row>
    <row r="37" spans="2:14" ht="12.75">
      <c r="B37" s="2"/>
      <c r="C37" s="566"/>
      <c r="D37" s="3"/>
      <c r="E37" s="3"/>
      <c r="F37" s="3"/>
      <c r="G37" s="3"/>
      <c r="H37" s="3"/>
      <c r="I37" s="3"/>
      <c r="J37" s="3"/>
      <c r="K37" s="3"/>
      <c r="L37" s="3"/>
      <c r="M37" s="3"/>
      <c r="N37" s="1"/>
    </row>
    <row r="38" spans="2:14" ht="12.75">
      <c r="B38" s="2"/>
      <c r="C38" s="3"/>
      <c r="D38" s="3"/>
      <c r="E38" s="3"/>
      <c r="F38" s="3"/>
      <c r="G38" s="3"/>
      <c r="H38" s="3"/>
      <c r="I38" s="3"/>
      <c r="J38" s="3"/>
      <c r="K38" s="430"/>
      <c r="L38" s="3"/>
      <c r="M38" s="3"/>
      <c r="N38" s="1"/>
    </row>
    <row r="39" spans="2:14" ht="13.5" thickBot="1">
      <c r="B39" s="417"/>
      <c r="C39" s="418"/>
      <c r="D39" s="418"/>
      <c r="E39" s="418"/>
      <c r="F39" s="418"/>
      <c r="G39" s="418"/>
      <c r="H39" s="418"/>
      <c r="I39" s="418"/>
      <c r="J39" s="418"/>
      <c r="K39" s="418"/>
      <c r="L39" s="418"/>
      <c r="M39" s="418"/>
      <c r="N39" s="419"/>
    </row>
  </sheetData>
  <sheetProtection sheet="1"/>
  <mergeCells count="4">
    <mergeCell ref="B6:N8"/>
    <mergeCell ref="C11:D11"/>
    <mergeCell ref="B2:N2"/>
    <mergeCell ref="J10:K10"/>
  </mergeCells>
  <dataValidations count="3">
    <dataValidation type="textLength" allowBlank="1" showInputMessage="1" showErrorMessage="1" errorTitle="CUIDADO...." error="Debe registrar el nombre del mes en letras.&#10;&#10;CANOBO - 2007" sqref="G10:I10">
      <formula1>5</formula1>
      <formula2>20</formula2>
    </dataValidation>
    <dataValidation type="whole" allowBlank="1" showInputMessage="1" showErrorMessage="1" errorTitle="CUIDADO..." error="Debe registrar un número de día válido.&#10;" sqref="F10">
      <formula1>1</formula1>
      <formula2>31</formula2>
    </dataValidation>
    <dataValidation type="whole" operator="greaterThan" allowBlank="1" showInputMessage="1" showErrorMessage="1" errorTitle="CUIDADO...." error="Debe registrar el año en el que se aprobó el presupuesto con sus cuatro dígitos y sin puntos.&#10;&#10;CANOBO - 2007" sqref="J10:K10">
      <formula1>2005</formula1>
    </dataValidation>
  </dataValidations>
  <printOptions/>
  <pageMargins left="0.7086614173228347" right="0.7086614173228347" top="0.7480314960629921" bottom="0.7480314960629921" header="0.31496062992125984" footer="0.31496062992125984"/>
  <pageSetup horizontalDpi="600" verticalDpi="600" orientation="landscape" scale="90" r:id="rId1"/>
</worksheet>
</file>

<file path=xl/worksheets/sheet2.xml><?xml version="1.0" encoding="utf-8"?>
<worksheet xmlns="http://schemas.openxmlformats.org/spreadsheetml/2006/main" xmlns:r="http://schemas.openxmlformats.org/officeDocument/2006/relationships">
  <sheetPr codeName="Hoja1">
    <pageSetUpPr fitToPage="1"/>
  </sheetPr>
  <dimension ref="A1:J86"/>
  <sheetViews>
    <sheetView zoomScale="85" zoomScaleNormal="85" workbookViewId="0" topLeftCell="A16">
      <selection activeCell="K34" sqref="K34"/>
    </sheetView>
  </sheetViews>
  <sheetFormatPr defaultColWidth="5.00390625" defaultRowHeight="12.75" zeroHeight="1"/>
  <cols>
    <col min="1" max="1" width="16.140625" style="54" customWidth="1"/>
    <col min="2" max="2" width="18.140625" style="54" customWidth="1"/>
    <col min="3" max="3" width="16.140625" style="54" customWidth="1"/>
    <col min="4" max="4" width="13.8515625" style="54" customWidth="1"/>
    <col min="5" max="5" width="22.7109375" style="54" bestFit="1" customWidth="1"/>
    <col min="6" max="6" width="24.57421875" style="64" customWidth="1"/>
    <col min="7" max="7" width="7.140625" style="54" customWidth="1"/>
    <col min="8" max="8" width="11.7109375" style="54" customWidth="1"/>
    <col min="9" max="10" width="12.7109375" style="54" customWidth="1"/>
    <col min="11" max="255" width="11.421875" style="54" customWidth="1"/>
    <col min="256" max="16384" width="5.00390625" style="54" customWidth="1"/>
  </cols>
  <sheetData>
    <row r="1" spans="1:6" ht="22.5" customHeight="1">
      <c r="A1" s="53"/>
      <c r="B1" s="53"/>
      <c r="C1" s="53"/>
      <c r="F1" s="55"/>
    </row>
    <row r="2" spans="1:6" ht="22.5" customHeight="1" thickBot="1">
      <c r="A2" s="652" t="s">
        <v>441</v>
      </c>
      <c r="B2" s="652"/>
      <c r="C2" s="652"/>
      <c r="D2" s="652"/>
      <c r="E2" s="652"/>
      <c r="F2" s="652"/>
    </row>
    <row r="3" spans="1:6" s="57" customFormat="1" ht="21" customHeight="1">
      <c r="A3" s="56" t="s">
        <v>94</v>
      </c>
      <c r="B3" s="648" t="s">
        <v>653</v>
      </c>
      <c r="C3" s="648"/>
      <c r="D3" s="648"/>
      <c r="E3" s="648"/>
      <c r="F3" s="649"/>
    </row>
    <row r="4" spans="1:6" s="57" customFormat="1" ht="21" customHeight="1" thickBot="1">
      <c r="A4" s="58" t="s">
        <v>176</v>
      </c>
      <c r="B4" s="663" t="s">
        <v>654</v>
      </c>
      <c r="C4" s="663"/>
      <c r="D4" s="663"/>
      <c r="E4" s="663"/>
      <c r="F4" s="664"/>
    </row>
    <row r="5" spans="1:6" s="57" customFormat="1" ht="22.5" thickBot="1">
      <c r="A5" s="59" t="s">
        <v>178</v>
      </c>
      <c r="B5" s="60"/>
      <c r="C5" s="102">
        <v>2021</v>
      </c>
      <c r="D5"/>
      <c r="E5" s="371" t="s">
        <v>407</v>
      </c>
      <c r="F5" s="102">
        <v>2</v>
      </c>
    </row>
    <row r="6" spans="1:6" s="57" customFormat="1" ht="16.5" thickBot="1">
      <c r="A6" s="113">
        <f>+IF(SUM(F10:F37)=0,"",IF(COUNT(F10:F37)&lt;18,"OJO - TODAS LAS CELDAS DEBEN ESTAR DILIGENCIADAS ASI SEA CON CERO Y FALTA ALGUNA",""))</f>
      </c>
      <c r="B6" s="61"/>
      <c r="C6" s="61"/>
      <c r="D6" s="62"/>
      <c r="E6" s="62"/>
      <c r="F6" s="62"/>
    </row>
    <row r="7" spans="1:6" ht="13.5" thickBot="1">
      <c r="A7" s="653" t="s">
        <v>177</v>
      </c>
      <c r="B7" s="654"/>
      <c r="C7" s="654"/>
      <c r="D7" s="654"/>
      <c r="E7" s="654"/>
      <c r="F7" s="63" t="s">
        <v>175</v>
      </c>
    </row>
    <row r="8" spans="1:6" ht="12.75">
      <c r="A8" s="104"/>
      <c r="B8" s="105"/>
      <c r="C8" s="105"/>
      <c r="D8" s="105"/>
      <c r="E8" s="105"/>
      <c r="F8" s="106"/>
    </row>
    <row r="9" spans="1:6" ht="16.5">
      <c r="A9" s="110" t="s">
        <v>219</v>
      </c>
      <c r="B9" s="111"/>
      <c r="C9" s="111"/>
      <c r="D9" s="111"/>
      <c r="E9" s="111"/>
      <c r="F9" s="112"/>
    </row>
    <row r="10" spans="1:6" s="57" customFormat="1" ht="15.75">
      <c r="A10" s="650" t="str">
        <f>+CONCATENATE("Inflación proyectada para incremento salarial ",C5-1)</f>
        <v>Inflación proyectada para incremento salarial 2020</v>
      </c>
      <c r="B10" s="651"/>
      <c r="C10" s="651"/>
      <c r="D10" s="651"/>
      <c r="E10" s="651"/>
      <c r="F10" s="103">
        <v>0.05</v>
      </c>
    </row>
    <row r="11" spans="1:6" s="57" customFormat="1" ht="15.75">
      <c r="A11" s="650" t="str">
        <f>+CONCATENATE("I.P.C. general esperado para el año ",C5,", Aproximado")</f>
        <v>I.P.C. general esperado para el año 2021, Aproximado</v>
      </c>
      <c r="B11" s="651"/>
      <c r="C11" s="651"/>
      <c r="D11" s="651"/>
      <c r="E11" s="651"/>
      <c r="F11" s="103">
        <v>0.05</v>
      </c>
    </row>
    <row r="12" spans="1:8" s="57" customFormat="1" ht="15.75">
      <c r="A12" s="650" t="str">
        <f>+CONCATENATE("Porcentaje de Incremento salarial esperado para el salario mínimo para el año ",C5)</f>
        <v>Porcentaje de Incremento salarial esperado para el salario mínimo para el año 2021</v>
      </c>
      <c r="B12" s="651"/>
      <c r="C12" s="651"/>
      <c r="D12" s="651"/>
      <c r="E12" s="651"/>
      <c r="F12" s="103">
        <v>0.05</v>
      </c>
      <c r="H12" s="590"/>
    </row>
    <row r="13" spans="1:8" s="57" customFormat="1" ht="15.75">
      <c r="A13" s="650" t="str">
        <f>+CONCATENATE("Salario mínimo legal mensual esperado para el año ",C5)</f>
        <v>Salario mínimo legal mensual esperado para el año 2021</v>
      </c>
      <c r="B13" s="651"/>
      <c r="C13" s="651"/>
      <c r="D13" s="651"/>
      <c r="E13" s="651"/>
      <c r="F13" s="89">
        <v>920000</v>
      </c>
      <c r="H13" s="590"/>
    </row>
    <row r="14" spans="1:8" s="57" customFormat="1" ht="15.75">
      <c r="A14" s="650" t="str">
        <f>+CONCATENATE("Valor mensual auxilio de transporte esperado para el año ",C5)</f>
        <v>Valor mensual auxilio de transporte esperado para el año 2021</v>
      </c>
      <c r="B14" s="651"/>
      <c r="C14" s="651"/>
      <c r="D14" s="651"/>
      <c r="E14" s="651"/>
      <c r="F14" s="89">
        <v>108000</v>
      </c>
      <c r="G14" s="333"/>
      <c r="H14" s="590"/>
    </row>
    <row r="15" spans="1:8" s="57" customFormat="1" ht="15.75">
      <c r="A15" s="650" t="str">
        <f>+CONCATENATE("Valor mensual auxilio de alimentación esperado para el año ",C6)</f>
        <v>Valor mensual auxilio de alimentación esperado para el año </v>
      </c>
      <c r="B15" s="651"/>
      <c r="C15" s="651"/>
      <c r="D15" s="651"/>
      <c r="E15" s="651"/>
      <c r="F15" s="571">
        <v>66098</v>
      </c>
      <c r="G15" s="333"/>
      <c r="H15" s="590"/>
    </row>
    <row r="16" spans="1:6" ht="12.75">
      <c r="A16" s="107"/>
      <c r="B16" s="108"/>
      <c r="C16" s="108"/>
      <c r="D16" s="108"/>
      <c r="E16" s="108"/>
      <c r="F16" s="109"/>
    </row>
    <row r="17" spans="1:6" ht="16.5">
      <c r="A17" s="110" t="s">
        <v>217</v>
      </c>
      <c r="B17" s="111"/>
      <c r="C17" s="111"/>
      <c r="D17" s="111"/>
      <c r="E17" s="111"/>
      <c r="F17" s="112"/>
    </row>
    <row r="18" spans="1:6" s="57" customFormat="1" ht="15.75">
      <c r="A18" s="665" t="s">
        <v>388</v>
      </c>
      <c r="B18" s="666"/>
      <c r="C18" s="666"/>
      <c r="D18" s="666"/>
      <c r="E18" s="666"/>
      <c r="F18" s="553">
        <v>0.05</v>
      </c>
    </row>
    <row r="19" spans="1:6" s="57" customFormat="1" ht="15.75">
      <c r="A19" s="650" t="str">
        <f>+CONCATENATE("Saldo en el fondo de bienestar social al finalizar la vigencia ",C5-1)</f>
        <v>Saldo en el fondo de bienestar social al finalizar la vigencia 2020</v>
      </c>
      <c r="B19" s="651"/>
      <c r="C19" s="651"/>
      <c r="D19" s="651"/>
      <c r="E19" s="651"/>
      <c r="F19" s="310">
        <v>0</v>
      </c>
    </row>
    <row r="20" spans="1:6" s="57" customFormat="1" ht="15.75">
      <c r="A20" s="650" t="s">
        <v>190</v>
      </c>
      <c r="B20" s="651"/>
      <c r="C20" s="651"/>
      <c r="D20" s="651"/>
      <c r="E20" s="651"/>
      <c r="F20" s="103">
        <v>0</v>
      </c>
    </row>
    <row r="21" spans="1:6" s="57" customFormat="1" ht="15.75">
      <c r="A21" s="650" t="str">
        <f>+CONCATENATE("Saldo en el fondo de la vivienda al finalizar la vigencia ",C5-1)</f>
        <v>Saldo en el fondo de la vivienda al finalizar la vigencia 2020</v>
      </c>
      <c r="B21" s="651"/>
      <c r="C21" s="651"/>
      <c r="D21" s="651"/>
      <c r="E21" s="651"/>
      <c r="F21" s="310">
        <v>0</v>
      </c>
    </row>
    <row r="22" spans="1:6" ht="12.75">
      <c r="A22" s="107"/>
      <c r="B22" s="108"/>
      <c r="C22" s="108"/>
      <c r="D22" s="108"/>
      <c r="E22" s="108"/>
      <c r="F22" s="109"/>
    </row>
    <row r="23" spans="1:6" ht="16.5">
      <c r="A23" s="110" t="s">
        <v>220</v>
      </c>
      <c r="B23" s="111"/>
      <c r="C23" s="111"/>
      <c r="D23" s="111"/>
      <c r="E23" s="111"/>
      <c r="F23" s="112"/>
    </row>
    <row r="24" spans="1:6" s="57" customFormat="1" ht="15.75">
      <c r="A24" s="650" t="s">
        <v>221</v>
      </c>
      <c r="B24" s="651"/>
      <c r="C24" s="651"/>
      <c r="D24" s="651"/>
      <c r="E24" s="651"/>
      <c r="F24" s="387">
        <v>0</v>
      </c>
    </row>
    <row r="25" spans="1:6" s="57" customFormat="1" ht="15.75">
      <c r="A25" s="650" t="s">
        <v>385</v>
      </c>
      <c r="B25" s="651"/>
      <c r="C25" s="651"/>
      <c r="D25" s="651"/>
      <c r="E25" s="651"/>
      <c r="F25" s="387">
        <v>1</v>
      </c>
    </row>
    <row r="26" spans="1:6" s="57" customFormat="1" ht="15.75">
      <c r="A26" s="650" t="s">
        <v>222</v>
      </c>
      <c r="B26" s="651"/>
      <c r="C26" s="651"/>
      <c r="D26" s="651"/>
      <c r="E26" s="651"/>
      <c r="F26" s="387">
        <v>1</v>
      </c>
    </row>
    <row r="27" spans="1:6" s="57" customFormat="1" ht="15.75">
      <c r="A27" s="650" t="s">
        <v>223</v>
      </c>
      <c r="B27" s="651"/>
      <c r="C27" s="651"/>
      <c r="D27" s="651"/>
      <c r="E27" s="651"/>
      <c r="F27" s="387">
        <v>1</v>
      </c>
    </row>
    <row r="28" spans="1:6" s="57" customFormat="1" ht="15.75">
      <c r="A28" s="650" t="s">
        <v>224</v>
      </c>
      <c r="B28" s="651"/>
      <c r="C28" s="651"/>
      <c r="D28" s="651"/>
      <c r="E28" s="651"/>
      <c r="F28" s="387">
        <v>1</v>
      </c>
    </row>
    <row r="29" spans="1:6" s="57" customFormat="1" ht="15.75">
      <c r="A29" s="650" t="s">
        <v>225</v>
      </c>
      <c r="B29" s="651"/>
      <c r="C29" s="651"/>
      <c r="D29" s="651"/>
      <c r="E29" s="651"/>
      <c r="F29" s="387">
        <v>0</v>
      </c>
    </row>
    <row r="30" spans="1:6" s="57" customFormat="1" ht="20.25" customHeight="1">
      <c r="A30" s="650" t="s">
        <v>226</v>
      </c>
      <c r="B30" s="651"/>
      <c r="C30" s="651"/>
      <c r="D30" s="651"/>
      <c r="E30" s="651"/>
      <c r="F30" s="387">
        <v>15</v>
      </c>
    </row>
    <row r="31" spans="1:6" s="57" customFormat="1" ht="14.25" customHeight="1">
      <c r="A31" s="671" t="s">
        <v>615</v>
      </c>
      <c r="B31" s="651"/>
      <c r="C31" s="651"/>
      <c r="D31" s="651"/>
      <c r="E31" s="651"/>
      <c r="F31" s="387">
        <v>1</v>
      </c>
    </row>
    <row r="32" spans="1:6" ht="12.75">
      <c r="A32" s="107"/>
      <c r="B32" s="108"/>
      <c r="C32" s="108"/>
      <c r="D32" s="108"/>
      <c r="E32" s="108"/>
      <c r="F32" s="109"/>
    </row>
    <row r="33" spans="1:6" ht="16.5">
      <c r="A33" s="110" t="s">
        <v>218</v>
      </c>
      <c r="B33" s="111"/>
      <c r="C33" s="111"/>
      <c r="D33" s="111"/>
      <c r="E33" s="111"/>
      <c r="F33" s="112"/>
    </row>
    <row r="34" spans="1:6" s="57" customFormat="1" ht="17.25" customHeight="1">
      <c r="A34" s="650" t="s">
        <v>191</v>
      </c>
      <c r="B34" s="651"/>
      <c r="C34" s="651"/>
      <c r="D34" s="651"/>
      <c r="E34" s="651"/>
      <c r="F34" s="387">
        <v>2</v>
      </c>
    </row>
    <row r="35" spans="1:6" s="57" customFormat="1" ht="17.25" customHeight="1">
      <c r="A35" s="650" t="str">
        <f>+CONCATENATE("No. de reuniones de Junta Directiva programadas para el año ",C5)</f>
        <v>No. de reuniones de Junta Directiva programadas para el año 2021</v>
      </c>
      <c r="B35" s="651"/>
      <c r="C35" s="651"/>
      <c r="D35" s="651"/>
      <c r="E35" s="651"/>
      <c r="F35" s="387">
        <v>7</v>
      </c>
    </row>
    <row r="36" spans="1:6" s="57" customFormat="1" ht="17.25" customHeight="1">
      <c r="A36" s="650" t="s">
        <v>192</v>
      </c>
      <c r="B36" s="651"/>
      <c r="C36" s="651"/>
      <c r="D36" s="651"/>
      <c r="E36" s="651"/>
      <c r="F36" s="387">
        <f>+F13/2</f>
        <v>460000</v>
      </c>
    </row>
    <row r="37" spans="1:6" s="57" customFormat="1" ht="17.25" customHeight="1" hidden="1" thickBot="1">
      <c r="A37" s="669"/>
      <c r="B37" s="670"/>
      <c r="C37" s="670"/>
      <c r="D37" s="670"/>
      <c r="E37" s="670"/>
      <c r="F37" s="406"/>
    </row>
    <row r="38" ht="12.75"/>
    <row r="39" ht="12.75"/>
    <row r="40" spans="1:6" ht="18">
      <c r="A40" s="658" t="s">
        <v>181</v>
      </c>
      <c r="B40" s="658"/>
      <c r="C40" s="658"/>
      <c r="D40" s="658"/>
      <c r="E40" s="658"/>
      <c r="F40" s="405"/>
    </row>
    <row r="41" ht="12.75">
      <c r="F41" s="54"/>
    </row>
    <row r="42" spans="1:5" ht="15.75">
      <c r="A42" s="65" t="s">
        <v>195</v>
      </c>
      <c r="E42" s="66"/>
    </row>
    <row r="43" ht="13.5" thickBot="1"/>
    <row r="44" spans="1:5" ht="13.5" thickBot="1">
      <c r="A44" s="661" t="s">
        <v>188</v>
      </c>
      <c r="B44" s="662"/>
      <c r="C44" s="68" t="s">
        <v>194</v>
      </c>
      <c r="D44" s="68" t="s">
        <v>193</v>
      </c>
      <c r="E44" s="69" t="s">
        <v>196</v>
      </c>
    </row>
    <row r="45" spans="1:5" ht="12.75">
      <c r="A45" s="659" t="s">
        <v>182</v>
      </c>
      <c r="B45" s="660"/>
      <c r="C45" s="90">
        <v>0.04</v>
      </c>
      <c r="D45" s="90">
        <v>0.085</v>
      </c>
      <c r="E45" s="70">
        <f aca="true" t="shared" si="0" ref="E45:E51">+D45+C45</f>
        <v>0.125</v>
      </c>
    </row>
    <row r="46" spans="1:5" ht="12.75">
      <c r="A46" s="667" t="s">
        <v>183</v>
      </c>
      <c r="B46" s="668"/>
      <c r="C46" s="91">
        <v>0.04</v>
      </c>
      <c r="D46" s="91">
        <v>0.12</v>
      </c>
      <c r="E46" s="71">
        <f t="shared" si="0"/>
        <v>0.16</v>
      </c>
    </row>
    <row r="47" spans="1:7" ht="12.75">
      <c r="A47" s="656" t="s">
        <v>568</v>
      </c>
      <c r="B47" s="72" t="s">
        <v>95</v>
      </c>
      <c r="C47" s="100">
        <v>0</v>
      </c>
      <c r="D47" s="99">
        <v>0.00522</v>
      </c>
      <c r="E47" s="73">
        <f t="shared" si="0"/>
        <v>0.00522</v>
      </c>
      <c r="F47" s="74"/>
      <c r="G47" s="75"/>
    </row>
    <row r="48" spans="1:6" ht="12.75">
      <c r="A48" s="657"/>
      <c r="B48" s="72" t="s">
        <v>197</v>
      </c>
      <c r="C48" s="100">
        <v>0</v>
      </c>
      <c r="D48" s="99">
        <v>0.02436</v>
      </c>
      <c r="E48" s="73">
        <f t="shared" si="0"/>
        <v>0.02436</v>
      </c>
      <c r="F48" s="74"/>
    </row>
    <row r="49" spans="1:6" ht="12.75">
      <c r="A49" s="76" t="s">
        <v>198</v>
      </c>
      <c r="B49" s="72"/>
      <c r="C49" s="100">
        <v>0</v>
      </c>
      <c r="D49" s="91">
        <v>0.04</v>
      </c>
      <c r="E49" s="77">
        <f t="shared" si="0"/>
        <v>0.04</v>
      </c>
      <c r="F49" s="74"/>
    </row>
    <row r="50" spans="1:6" ht="12.75">
      <c r="A50" s="76" t="s">
        <v>199</v>
      </c>
      <c r="B50" s="72"/>
      <c r="C50" s="100">
        <v>0</v>
      </c>
      <c r="D50" s="91">
        <v>0.03</v>
      </c>
      <c r="E50" s="77">
        <f t="shared" si="0"/>
        <v>0.03</v>
      </c>
      <c r="F50" s="78"/>
    </row>
    <row r="51" spans="1:6" ht="13.5" thickBot="1">
      <c r="A51" s="79" t="s">
        <v>200</v>
      </c>
      <c r="B51" s="80"/>
      <c r="C51" s="101">
        <v>0</v>
      </c>
      <c r="D51" s="92">
        <v>0.02</v>
      </c>
      <c r="E51" s="81">
        <f t="shared" si="0"/>
        <v>0.02</v>
      </c>
      <c r="F51" s="78"/>
    </row>
    <row r="52" spans="1:6" ht="15.75" thickBot="1">
      <c r="A52" s="399" t="s">
        <v>542</v>
      </c>
      <c r="B52" s="400"/>
      <c r="C52" s="400"/>
      <c r="D52" s="401"/>
      <c r="E52" s="402">
        <v>0.12</v>
      </c>
      <c r="F52" s="74"/>
    </row>
    <row r="53" spans="5:6" ht="12.75">
      <c r="E53" s="20"/>
      <c r="F53" s="74"/>
    </row>
    <row r="54" spans="1:6" ht="12.75">
      <c r="A54" s="65" t="s">
        <v>203</v>
      </c>
      <c r="E54" s="20"/>
      <c r="F54" s="74"/>
    </row>
    <row r="55" ht="13.5" thickBot="1">
      <c r="F55" s="78"/>
    </row>
    <row r="56" spans="1:5" ht="13.5" thickBot="1">
      <c r="A56" s="82" t="s">
        <v>182</v>
      </c>
      <c r="B56" s="83" t="s">
        <v>183</v>
      </c>
      <c r="C56" s="84" t="s">
        <v>201</v>
      </c>
      <c r="E56" s="52" t="s">
        <v>202</v>
      </c>
    </row>
    <row r="57" spans="1:5" ht="13.5" thickBot="1">
      <c r="A57" s="581" t="s">
        <v>642</v>
      </c>
      <c r="B57" s="95" t="s">
        <v>526</v>
      </c>
      <c r="C57" s="94" t="s">
        <v>526</v>
      </c>
      <c r="E57" s="93" t="s">
        <v>730</v>
      </c>
    </row>
    <row r="58" spans="1:6" ht="13.5" thickBot="1">
      <c r="A58" s="390" t="s">
        <v>538</v>
      </c>
      <c r="B58" s="395" t="s">
        <v>639</v>
      </c>
      <c r="C58" s="397" t="s">
        <v>564</v>
      </c>
      <c r="F58" s="54"/>
    </row>
    <row r="59" spans="1:6" ht="12.75">
      <c r="A59" s="390" t="s">
        <v>643</v>
      </c>
      <c r="B59" s="395" t="s">
        <v>564</v>
      </c>
      <c r="C59" s="397" t="s">
        <v>565</v>
      </c>
      <c r="E59" s="52" t="s">
        <v>568</v>
      </c>
      <c r="F59" s="54"/>
    </row>
    <row r="60" spans="1:6" ht="13.5" thickBot="1">
      <c r="A60" s="390" t="s">
        <v>648</v>
      </c>
      <c r="B60" s="395" t="s">
        <v>565</v>
      </c>
      <c r="C60" s="397" t="s">
        <v>644</v>
      </c>
      <c r="E60" s="93" t="s">
        <v>729</v>
      </c>
      <c r="F60" s="54"/>
    </row>
    <row r="61" spans="1:6" ht="12.75">
      <c r="A61" s="390" t="s">
        <v>645</v>
      </c>
      <c r="B61" s="395"/>
      <c r="C61" s="397" t="s">
        <v>227</v>
      </c>
      <c r="F61" s="54"/>
    </row>
    <row r="62" spans="1:6" ht="12.75">
      <c r="A62" s="390" t="s">
        <v>638</v>
      </c>
      <c r="B62" s="395" t="s">
        <v>227</v>
      </c>
      <c r="C62" s="397" t="s">
        <v>227</v>
      </c>
      <c r="F62" s="54"/>
    </row>
    <row r="63" spans="1:6" ht="12.75">
      <c r="A63" s="390" t="s">
        <v>646</v>
      </c>
      <c r="B63" s="395" t="s">
        <v>227</v>
      </c>
      <c r="C63" s="397" t="s">
        <v>227</v>
      </c>
      <c r="F63" s="54"/>
    </row>
    <row r="64" spans="1:6" ht="12.75">
      <c r="A64" s="390" t="s">
        <v>227</v>
      </c>
      <c r="B64" s="395" t="s">
        <v>227</v>
      </c>
      <c r="C64" s="397" t="s">
        <v>227</v>
      </c>
      <c r="F64" s="54"/>
    </row>
    <row r="65" spans="1:6" ht="12.75">
      <c r="A65" s="390" t="s">
        <v>227</v>
      </c>
      <c r="B65" s="395" t="s">
        <v>227</v>
      </c>
      <c r="C65" s="397" t="s">
        <v>227</v>
      </c>
      <c r="F65" s="54"/>
    </row>
    <row r="66" spans="1:6" ht="12.75">
      <c r="A66" s="390" t="s">
        <v>227</v>
      </c>
      <c r="B66" s="395" t="s">
        <v>227</v>
      </c>
      <c r="C66" s="397" t="s">
        <v>227</v>
      </c>
      <c r="F66" s="54"/>
    </row>
    <row r="67" spans="1:6" ht="12.75">
      <c r="A67" s="390" t="s">
        <v>227</v>
      </c>
      <c r="B67" s="395" t="s">
        <v>227</v>
      </c>
      <c r="C67" s="397" t="s">
        <v>227</v>
      </c>
      <c r="F67" s="54"/>
    </row>
    <row r="68" spans="1:6" ht="13.5" thickBot="1">
      <c r="A68" s="394" t="s">
        <v>227</v>
      </c>
      <c r="B68" s="396" t="s">
        <v>227</v>
      </c>
      <c r="C68" s="398" t="s">
        <v>227</v>
      </c>
      <c r="F68" s="54"/>
    </row>
    <row r="69" ht="12.75"/>
    <row r="70" ht="12.75"/>
    <row r="71" ht="12.75">
      <c r="A71" s="65" t="str">
        <f>+CONCATENATE("VALORES NOTIFICADOS AL MINISTERIO PARA APORTES PATRONALES DE LA VIGENCIA ",C5," (En pesos)")</f>
        <v>VALORES NOTIFICADOS AL MINISTERIO PARA APORTES PATRONALES DE LA VIGENCIA 2021 (En pesos)</v>
      </c>
    </row>
    <row r="72" ht="13.5" thickBot="1"/>
    <row r="73" spans="1:2" ht="13.5" thickBot="1">
      <c r="A73" s="67" t="s">
        <v>188</v>
      </c>
      <c r="B73" s="85" t="s">
        <v>206</v>
      </c>
    </row>
    <row r="74" spans="1:10" ht="18" customHeight="1">
      <c r="A74" s="86" t="s">
        <v>182</v>
      </c>
      <c r="B74" s="96"/>
      <c r="C74" s="6"/>
      <c r="D74" s="6"/>
      <c r="E74" s="321"/>
      <c r="F74" s="321"/>
      <c r="G74" s="321"/>
      <c r="H74" s="321"/>
      <c r="I74" s="321"/>
      <c r="J74" s="321"/>
    </row>
    <row r="75" spans="1:10" ht="19.5" customHeight="1">
      <c r="A75" s="76" t="s">
        <v>183</v>
      </c>
      <c r="B75" s="97"/>
      <c r="C75" s="6"/>
      <c r="D75" s="6"/>
      <c r="E75" s="321"/>
      <c r="F75" s="321"/>
      <c r="G75" s="321"/>
      <c r="H75" s="321"/>
      <c r="I75" s="321"/>
      <c r="J75" s="321"/>
    </row>
    <row r="76" spans="1:10" ht="27.75" customHeight="1">
      <c r="A76" s="441" t="s">
        <v>568</v>
      </c>
      <c r="B76" s="97"/>
      <c r="C76" s="6"/>
      <c r="D76" s="655" t="str">
        <f>+IF(B78=0,"POR FAVOR REGISTRE EL VALOR DE LOS APORTES ASIGNADOS PARA QUE PUEDA HACERSE LA DISTRIBUCIÓN DE LOS GASTOS SIN SITUACION DE FONDOS ","ESTE ES EL VALOR QUE SE DISTRIBUYE EN EL GASTO COMO RECURSOS SIN SITUACION DE FONDOS")</f>
        <v>POR FAVOR REGISTRE EL VALOR DE LOS APORTES ASIGNADOS PARA QUE PUEDA HACERSE LA DISTRIBUCIÓN DE LOS GASTOS SIN SITUACION DE FONDOS </v>
      </c>
      <c r="E76" s="655"/>
      <c r="F76" s="655"/>
      <c r="G76" s="321"/>
      <c r="H76" s="321"/>
      <c r="I76" s="321"/>
      <c r="J76" s="321"/>
    </row>
    <row r="77" spans="1:10" ht="27.75" customHeight="1" thickBot="1">
      <c r="A77" s="79" t="s">
        <v>201</v>
      </c>
      <c r="B77" s="98"/>
      <c r="C77" s="6"/>
      <c r="D77" s="655"/>
      <c r="E77" s="655"/>
      <c r="F77" s="655"/>
      <c r="G77" s="321"/>
      <c r="H77" s="321"/>
      <c r="I77" s="321"/>
      <c r="J77" s="321"/>
    </row>
    <row r="78" spans="1:6" ht="27" customHeight="1" thickBot="1">
      <c r="A78" s="87" t="s">
        <v>207</v>
      </c>
      <c r="B78" s="88">
        <f>SUM(B74:B77)</f>
        <v>0</v>
      </c>
      <c r="C78" s="6"/>
      <c r="D78" s="655"/>
      <c r="E78" s="655"/>
      <c r="F78" s="655"/>
    </row>
    <row r="79" ht="12.75"/>
    <row r="82" ht="12.75" hidden="1">
      <c r="B82"/>
    </row>
    <row r="83" ht="12.75" hidden="1">
      <c r="B83"/>
    </row>
    <row r="84" ht="12.75" hidden="1">
      <c r="B84"/>
    </row>
    <row r="85" ht="12.75" hidden="1">
      <c r="B85"/>
    </row>
    <row r="86" ht="12.75" hidden="1">
      <c r="B86" s="6"/>
    </row>
    <row r="87" ht="12.75"/>
    <row r="88" ht="12.75"/>
  </sheetData>
  <sheetProtection/>
  <mergeCells count="32">
    <mergeCell ref="A46:B46"/>
    <mergeCell ref="A37:E37"/>
    <mergeCell ref="A35:E35"/>
    <mergeCell ref="A31:E31"/>
    <mergeCell ref="A36:E36"/>
    <mergeCell ref="A34:E34"/>
    <mergeCell ref="D76:F78"/>
    <mergeCell ref="A47:A48"/>
    <mergeCell ref="A40:E40"/>
    <mergeCell ref="A45:B45"/>
    <mergeCell ref="A44:B44"/>
    <mergeCell ref="B4:F4"/>
    <mergeCell ref="A14:E14"/>
    <mergeCell ref="A18:E18"/>
    <mergeCell ref="A21:E21"/>
    <mergeCell ref="A11:E11"/>
    <mergeCell ref="A30:E30"/>
    <mergeCell ref="A12:E12"/>
    <mergeCell ref="A25:E25"/>
    <mergeCell ref="A27:E27"/>
    <mergeCell ref="A28:E28"/>
    <mergeCell ref="A29:E29"/>
    <mergeCell ref="A26:E26"/>
    <mergeCell ref="A15:E15"/>
    <mergeCell ref="B3:F3"/>
    <mergeCell ref="A20:E20"/>
    <mergeCell ref="A24:E24"/>
    <mergeCell ref="A2:F2"/>
    <mergeCell ref="A19:E19"/>
    <mergeCell ref="A7:E7"/>
    <mergeCell ref="A10:E10"/>
    <mergeCell ref="A13:E13"/>
  </mergeCells>
  <dataValidations count="19">
    <dataValidation type="decimal" allowBlank="1" showInputMessage="1" showErrorMessage="1" errorTitle="OJO..." error="Debe escribir solo números decimales.&#10;&#10;CANOBO 2007" sqref="C45:D51">
      <formula1>0</formula1>
      <formula2>30</formula2>
    </dataValidation>
    <dataValidation type="whole" allowBlank="1" showInputMessage="1" showErrorMessage="1" errorTitle="CUIDADO..." error="Debe escribir solo valores numéricos enteros entre 1 y 1000000000" sqref="B74:B77">
      <formula1>1</formula1>
      <formula2>1000000000</formula2>
    </dataValidation>
    <dataValidation type="whole" allowBlank="1" showInputMessage="1" showErrorMessage="1" promptTitle="INSTRUCCION" prompt="Registre el año que desea presupuestar." errorTitle="OJO...." error="Debe escribir el número del año que va a presupuestar sin puntos ni comas.&#10;&#10;CANOBO - 2007" sqref="C5">
      <formula1>2020</formula1>
      <formula2>2022</formula2>
    </dataValidation>
    <dataValidation type="whole" allowBlank="1" showInputMessage="1" showErrorMessage="1" promptTitle="INSTRUCCION" prompt="Digite el valor en pesos del salario mínimo que se pagará en el año a presupuestar." errorTitle="CUIDADO..." error="Debe escribir un número entero que corresponda al salario que se pagará." sqref="F13">
      <formula1>461500</formula1>
      <formula2>5000000</formula2>
    </dataValidation>
    <dataValidation type="whole" allowBlank="1" showInputMessage="1" showErrorMessage="1" promptTitle="INSTRUCCION" prompt="Digite el valor en pesos del auxilio de transporte que se pagará en el año que está presupuestando" errorTitle="CUIDADO..." error="Debe escribir un número entero que corresponda al auxilio de transporte que se pagará." sqref="F14:F15">
      <formula1>30000</formula1>
      <formula2>500000</formula2>
    </dataValidation>
    <dataValidation type="decimal" allowBlank="1" showInputMessage="1" showErrorMessage="1" promptTitle="INSTRUCCION" prompt="Indique cuanto porcentaje de lo dedicado para bienestar social, destinará usted para el fondo de la vivienda según lo que tenga dispuesto el comité de bienestar social o el organismo competente." errorTitle="INCORRECTO..." error="Debe registrar un porcentaje.&#10;&#10;CANOBO - 2006" sqref="F20">
      <formula1>0</formula1>
      <formula2>100</formula2>
    </dataValidation>
    <dataValidation type="whole" allowBlank="1" showInputMessage="1" showErrorMessage="1" promptTitle="INSTRUCCION" prompt="Digite un uno (1) si paga esta prima o un cero (0) si no la paga" errorTitle="ERROR..." error="Debe escribir un 1 o un 0.&#10;&#10;CANOBO - 2007" sqref="F28">
      <formula1>0</formula1>
      <formula2>1</formula2>
    </dataValidation>
    <dataValidation type="whole" allowBlank="1" showInputMessage="1" showErrorMessage="1" promptTitle="INSTRUCCION" prompt="Integrantes de la Junta que no laboran con el estado." errorTitle="LO LAMENTO..." error="Debe escribir el número de integrantes de la Junta Directiva que no devengan salario del estado.&#10;&#10;CANOBO - 2007" sqref="F34">
      <formula1>1</formula1>
      <formula2>5</formula2>
    </dataValidation>
    <dataValidation type="whole" allowBlank="1" showInputMessage="1" showErrorMessage="1" promptTitle="INSTRUCCION" prompt="Reuniones promedio que la Junta Directiva hace en el año" errorTitle="CUIDADO..." error="Registre en números el total de reuniones que la junta tenga programado hacer en el año.&#10;&#10;CANOBO - 2007" sqref="F35">
      <formula1>1</formula1>
      <formula2>12</formula2>
    </dataValidation>
    <dataValidation type="custom" allowBlank="1" showInputMessage="1" showErrorMessage="1" promptTitle="INSTRUCCION" prompt="Digite el valor que se le paga a cada integrante de la Junta Directiva por cada sesión." errorTitle="OJO..." error="Debe registrar en valor de honorarios que se paga a cada integrante por cada sesión de Junta Directiva. El valor no puede ser superior a 1/2 del salario mínimo mensual." sqref="F36">
      <formula1>F36&lt;=F13/2</formula1>
    </dataValidation>
    <dataValidation type="whole" allowBlank="1" showInputMessage="1" showErrorMessage="1" promptTitle="INSTRUCCION" prompt="Digite el saldo que quedó en caja y bancos para Fondo de vivienda al finalizar la vigencia anterior a la que va a presupuestar. No incluya aquí el saldo de la columna F19 de bienestar social." errorTitle="INCORRECTO..." error="Debe registrar un número entero sin puntos, comas u otras divisiones.&#10;&#10;CANOBO - 2006" sqref="F21">
      <formula1>0</formula1>
      <formula2>1000000000</formula2>
    </dataValidation>
    <dataValidation type="whole" allowBlank="1" showInputMessage="1" showErrorMessage="1" promptTitle="INSTRUCCION" prompt="Registre el nivel de atención de su hospital, de 1 a 3." errorTitle="OJO...." error="Debe escribir el número del nivel de complejidad del que sea el hospital que presupuestará, de 1 a 3.&#10;&#10;CANOBO - 2007" sqref="F5">
      <formula1>1</formula1>
      <formula2>3</formula2>
    </dataValidation>
    <dataValidation allowBlank="1" showInputMessage="1" showErrorMessage="1" promptTitle="INSTRUCCION" prompt="Registre el nombre del municipio en el que está su hospital." sqref="B3:F3"/>
    <dataValidation allowBlank="1" showInputMessage="1" showErrorMessage="1" promptTitle="INSTRUCCION" prompt="Escriba el nombre completo de su institución." sqref="B4:F4"/>
    <dataValidation type="decimal" allowBlank="1" showInputMessage="1" showErrorMessage="1" promptTitle="INSTRUCCION" prompt="Digite la inflacion que espera para la vigencia que está terminando." errorTitle="INCORRECTO..." error="Debe registrar un porcentaje.&#10;&#10;CANOBO - 2006" sqref="F10:F12">
      <formula1>0</formula1>
      <formula2>10</formula2>
    </dataValidation>
    <dataValidation type="decimal" allowBlank="1" showInputMessage="1" showErrorMessage="1" promptTitle="INSTRUCCION" prompt="Digite el porcentaje de nómina que su institución según la situación financiera está en capacidad de dedicar a bienestar social. Este porcentaje se distribuirá porcentualmente para fondo de vivienda y bienestar social según lo que registre en la celda F20" errorTitle="INCORRECTO..." error="Debe registrar un porcentaje.&#10;&#10;CANOBO - 2006" sqref="F18">
      <formula1>0</formula1>
      <formula2>100</formula2>
    </dataValidation>
    <dataValidation type="whole" allowBlank="1" showInputMessage="1" showErrorMessage="1" promptTitle="INSTRUCCION" prompt="Digite el saldo que le qeudó en caja y bancos para Bienestar Social al finalizar la vigencia anterior a la que está presupuestando. Recuerde que es solo el saldo de bienestar social sin incluir el saldo de fondo de la vivienda." errorTitle="INCORRECTO..." error="Debe registrar un número entero sin puntos, comas u otras divisiones." sqref="F19">
      <formula1>0</formula1>
      <formula2>1000000000</formula2>
    </dataValidation>
    <dataValidation type="whole" allowBlank="1" showInputMessage="1" showErrorMessage="1" promptTitle="INSTRUCCION" prompt="Digite el número de días que pague o un cero (0) si no la paga." errorTitle="CUIDADO..." error="Solo se permite el número de días que paga.&#10;&#10;&#10;CANOBO - 2007" sqref="F29:F31">
      <formula1>0</formula1>
      <formula2>30</formula2>
    </dataValidation>
    <dataValidation type="whole" allowBlank="1" showInputMessage="1" showErrorMessage="1" promptTitle="INSTRUCCION" prompt="Digite un uno (1) si paga esta prima o un cero (0) si no la paga." errorTitle="ERROR..." error="Debe escribir un 1 o un 0.&#10;&#10;CANOBO - 2007" sqref="F24:F27">
      <formula1>0</formula1>
      <formula2>1</formula2>
    </dataValidation>
  </dataValidations>
  <printOptions horizontalCentered="1" verticalCentered="1"/>
  <pageMargins left="0.3937007874015748" right="0.3937007874015748" top="1.1811023622047245" bottom="1.1811023622047245" header="0" footer="0.984251968503937"/>
  <pageSetup blackAndWhite="1" fitToHeight="2" fitToWidth="1" horizontalDpi="360" verticalDpi="360" orientation="portrait" scale="96" r:id="rId1"/>
  <headerFooter alignWithMargins="0">
    <oddFooter>&amp;C&amp;A&amp;RPágina &amp;P</oddFooter>
  </headerFooter>
</worksheet>
</file>

<file path=xl/worksheets/sheet3.xml><?xml version="1.0" encoding="utf-8"?>
<worksheet xmlns="http://schemas.openxmlformats.org/spreadsheetml/2006/main" xmlns:r="http://schemas.openxmlformats.org/officeDocument/2006/relationships">
  <sheetPr codeName="Hoja2">
    <tabColor rgb="FFFFC000"/>
  </sheetPr>
  <dimension ref="A1:AH43"/>
  <sheetViews>
    <sheetView zoomScale="92" zoomScaleNormal="92" zoomScalePageLayoutView="0" workbookViewId="0" topLeftCell="A1">
      <pane xSplit="1" ySplit="4" topLeftCell="B5" activePane="bottomRight" state="frozen"/>
      <selection pane="topLeft" activeCell="A1" sqref="A1"/>
      <selection pane="topRight" activeCell="A1" sqref="A1"/>
      <selection pane="bottomLeft" activeCell="A1" sqref="A1"/>
      <selection pane="bottomRight" activeCell="H6" sqref="H6"/>
    </sheetView>
  </sheetViews>
  <sheetFormatPr defaultColWidth="0" defaultRowHeight="12.75" zeroHeight="1"/>
  <cols>
    <col min="1" max="1" width="32.7109375" style="24" bestFit="1" customWidth="1"/>
    <col min="2" max="2" width="36.421875" style="24" customWidth="1"/>
    <col min="3" max="4" width="3.140625" style="24" customWidth="1"/>
    <col min="5" max="7" width="12.57421875" style="24" customWidth="1"/>
    <col min="8" max="8" width="13.00390625" style="24" customWidth="1"/>
    <col min="9" max="9" width="11.140625" style="24" customWidth="1"/>
    <col min="10" max="10" width="13.8515625" style="24" customWidth="1"/>
    <col min="11" max="13" width="12.28125" style="24" customWidth="1"/>
    <col min="14" max="14" width="11.421875" style="24" customWidth="1"/>
    <col min="15" max="16" width="13.8515625" style="24" customWidth="1"/>
    <col min="17" max="17" width="12.8515625" style="24" customWidth="1"/>
    <col min="18" max="18" width="13.7109375" style="24" customWidth="1"/>
    <col min="19" max="19" width="13.8515625" style="24" customWidth="1"/>
    <col min="20" max="25" width="13.421875" style="24" customWidth="1"/>
    <col min="26" max="26" width="1.8515625" style="24" customWidth="1"/>
    <col min="27" max="29" width="17.28125" style="24" hidden="1" customWidth="1"/>
    <col min="30" max="34" width="11.57421875" style="24" hidden="1" customWidth="1"/>
    <col min="35" max="16384" width="11.57421875" style="24" hidden="1" customWidth="1"/>
  </cols>
  <sheetData>
    <row r="1" spans="1:29" s="26" customFormat="1" ht="65.25" customHeight="1" thickBot="1">
      <c r="A1" s="311" t="str">
        <f>+CONCATENATE("CALCULO PARA LAS CONTRIBUCIONES INHERENTES A LA NOMINA PARA EL PRESUPUESTO DE ",'Información general'!C5)</f>
        <v>CALCULO PARA LAS CONTRIBUCIONES INHERENTES A LA NOMINA PARA EL PRESUPUESTO DE 2021</v>
      </c>
      <c r="C1"/>
      <c r="D1"/>
      <c r="E1"/>
      <c r="F1"/>
      <c r="G1"/>
      <c r="H1"/>
      <c r="I1"/>
      <c r="J1"/>
      <c r="K1" s="4"/>
      <c r="L1" s="672" t="s">
        <v>622</v>
      </c>
      <c r="M1" s="672"/>
      <c r="N1" s="672"/>
      <c r="O1" s="672"/>
      <c r="P1" s="672"/>
      <c r="Q1" s="672"/>
      <c r="R1" s="672"/>
      <c r="S1" s="672"/>
      <c r="T1" s="672"/>
      <c r="U1" s="672"/>
      <c r="V1" s="672"/>
      <c r="W1" s="672"/>
      <c r="X1" s="672"/>
      <c r="Y1" s="672"/>
      <c r="AA1" s="82" t="s">
        <v>182</v>
      </c>
      <c r="AB1" s="83" t="s">
        <v>183</v>
      </c>
      <c r="AC1" s="84" t="s">
        <v>201</v>
      </c>
    </row>
    <row r="2" spans="1:29" s="26" customFormat="1" ht="6.75" customHeight="1" thickBot="1">
      <c r="A2" s="25"/>
      <c r="B2" s="4"/>
      <c r="C2" s="4"/>
      <c r="D2" s="4"/>
      <c r="E2" s="4"/>
      <c r="F2" s="4"/>
      <c r="G2" s="4"/>
      <c r="H2" s="4"/>
      <c r="I2" s="4"/>
      <c r="J2" s="4"/>
      <c r="K2" s="4"/>
      <c r="L2" s="4"/>
      <c r="M2" s="4"/>
      <c r="N2" s="4"/>
      <c r="O2" s="4"/>
      <c r="P2" s="4"/>
      <c r="Q2" s="4"/>
      <c r="R2" s="4"/>
      <c r="S2" s="4"/>
      <c r="T2" s="4"/>
      <c r="U2" s="4"/>
      <c r="AA2" s="209" t="str">
        <f>+IF('Información general'!A57="","",'Información general'!A57)</f>
        <v>COOMEVA</v>
      </c>
      <c r="AB2" s="210" t="str">
        <f>+IF('Información general'!B57="","",'Información general'!B57)</f>
        <v>COLFONDOS</v>
      </c>
      <c r="AC2" s="211" t="str">
        <f>+IF('Información general'!C57="","",'Información general'!C57)</f>
        <v>COLFONDOS</v>
      </c>
    </row>
    <row r="3" spans="1:29" s="27" customFormat="1" ht="33" customHeight="1">
      <c r="A3" s="678" t="s">
        <v>180</v>
      </c>
      <c r="B3" s="676"/>
      <c r="C3" s="676"/>
      <c r="D3" s="676"/>
      <c r="E3" s="676" t="s">
        <v>181</v>
      </c>
      <c r="F3" s="676"/>
      <c r="G3" s="676"/>
      <c r="H3" s="676" t="str">
        <f>+CONCATENATE("DATOS SALARIALES AÑO ",'Información general'!C5-1)</f>
        <v>DATOS SALARIALES AÑO 2020</v>
      </c>
      <c r="I3" s="676"/>
      <c r="J3" s="676" t="str">
        <f>+CONCATENATE("DATOS PRESTACIONALES CALCULADOS PARA EL AÑO ",'Información general'!C5)</f>
        <v>DATOS PRESTACIONALES CALCULADOS PARA EL AÑO 2021</v>
      </c>
      <c r="K3" s="676"/>
      <c r="L3" s="676"/>
      <c r="M3" s="676"/>
      <c r="N3" s="676"/>
      <c r="O3" s="676"/>
      <c r="P3" s="676"/>
      <c r="Q3" s="676"/>
      <c r="R3" s="676"/>
      <c r="S3" s="676"/>
      <c r="T3" s="676" t="str">
        <f>+CONCATENATE("APORTES PATRONALES CALCULADOS PARA SEGURIDAD SOCIAL AÑO ",'Información general'!C5)</f>
        <v>APORTES PATRONALES CALCULADOS PARA SEGURIDAD SOCIAL AÑO 2021</v>
      </c>
      <c r="U3" s="676"/>
      <c r="V3" s="676"/>
      <c r="W3" s="676" t="str">
        <f>+CONCATENATE("APORTES PARAFISCALES CALCULADOS PARA EL AÑO ",'Información general'!C5)</f>
        <v>APORTES PARAFISCALES CALCULADOS PARA EL AÑO 2021</v>
      </c>
      <c r="X3" s="676"/>
      <c r="Y3" s="677"/>
      <c r="AA3" s="212" t="str">
        <f>+IF('Información general'!A58="","",'Información general'!A58)</f>
        <v>NUEVA EPS</v>
      </c>
      <c r="AB3" s="213" t="str">
        <f>+IF('Información general'!B58="","",'Información general'!B58)</f>
        <v>COLPENSIONES</v>
      </c>
      <c r="AC3" s="214" t="str">
        <f>+IF('Información general'!C58="","",'Información general'!C58)</f>
        <v>PROTECCION</v>
      </c>
    </row>
    <row r="4" spans="1:34" s="23" customFormat="1" ht="72.75" thickBot="1">
      <c r="A4" s="576" t="s">
        <v>0</v>
      </c>
      <c r="B4" s="572" t="s">
        <v>1</v>
      </c>
      <c r="C4" s="573" t="s">
        <v>189</v>
      </c>
      <c r="D4" s="573" t="s">
        <v>179</v>
      </c>
      <c r="E4" s="572" t="s">
        <v>184</v>
      </c>
      <c r="F4" s="572" t="s">
        <v>185</v>
      </c>
      <c r="G4" s="572" t="s">
        <v>163</v>
      </c>
      <c r="H4" s="572" t="s">
        <v>524</v>
      </c>
      <c r="I4" s="572" t="s">
        <v>525</v>
      </c>
      <c r="J4" s="572" t="s">
        <v>204</v>
      </c>
      <c r="K4" s="572" t="s">
        <v>205</v>
      </c>
      <c r="L4" s="572" t="s">
        <v>620</v>
      </c>
      <c r="M4" s="572" t="s">
        <v>621</v>
      </c>
      <c r="N4" s="574" t="s">
        <v>214</v>
      </c>
      <c r="O4" s="574" t="s">
        <v>215</v>
      </c>
      <c r="P4" s="574" t="s">
        <v>14</v>
      </c>
      <c r="Q4" s="574" t="s">
        <v>216</v>
      </c>
      <c r="R4" s="574" t="s">
        <v>619</v>
      </c>
      <c r="S4" s="572" t="s">
        <v>201</v>
      </c>
      <c r="T4" s="572" t="s">
        <v>182</v>
      </c>
      <c r="U4" s="572" t="s">
        <v>183</v>
      </c>
      <c r="V4" s="572" t="s">
        <v>568</v>
      </c>
      <c r="W4" s="572" t="str">
        <f>+CONCATENATE("CCF ",'Información general'!E57)</f>
        <v>CCF COMFENALCO ANTIOQUIA</v>
      </c>
      <c r="X4" s="572" t="s">
        <v>186</v>
      </c>
      <c r="Y4" s="577" t="s">
        <v>187</v>
      </c>
      <c r="AA4" s="212" t="str">
        <f>+IF('Información general'!A59="","",'Información general'!A59)</f>
        <v>SALUD TOTAL</v>
      </c>
      <c r="AB4" s="213" t="str">
        <f>+IF('Información general'!B59="","",'Información general'!B59)</f>
        <v>PROTECCION</v>
      </c>
      <c r="AC4" s="214" t="str">
        <f>+IF('Información general'!C59="","",'Información general'!C59)</f>
        <v>PORVENIR</v>
      </c>
      <c r="AE4" s="23" t="s">
        <v>184</v>
      </c>
      <c r="AF4" s="23" t="s">
        <v>228</v>
      </c>
      <c r="AG4" s="23" t="s">
        <v>201</v>
      </c>
      <c r="AH4" s="22"/>
    </row>
    <row r="5" spans="1:33" s="5" customFormat="1" ht="12.75">
      <c r="A5" s="215" t="s">
        <v>655</v>
      </c>
      <c r="B5" s="216" t="s">
        <v>656</v>
      </c>
      <c r="C5" s="584">
        <v>1</v>
      </c>
      <c r="D5" s="584"/>
      <c r="E5" s="215" t="s">
        <v>648</v>
      </c>
      <c r="F5" s="216" t="s">
        <v>565</v>
      </c>
      <c r="G5" s="216" t="s">
        <v>565</v>
      </c>
      <c r="H5" s="582">
        <v>2049931.4544</v>
      </c>
      <c r="I5" s="583"/>
      <c r="J5" s="575">
        <f>ROUND((H5*'Información general'!$F$10+(H5)),0)</f>
        <v>2152428</v>
      </c>
      <c r="K5" s="575">
        <f>ROUND((I5*'Información general'!$F$10+(I5)),0)</f>
        <v>0</v>
      </c>
      <c r="L5" s="575">
        <f>+ROUND(IF(J5&lt;2*'Información general'!$F$13,'Información general'!$F$14),0)</f>
        <v>0</v>
      </c>
      <c r="M5" s="575">
        <f>+ROUND(IF(J5&lt;2*'Información general'!$F$13,'Información general'!$F$15),0)</f>
        <v>0</v>
      </c>
      <c r="N5" s="575">
        <f>ROUND(((J5/2+L5+M5+R5/12)*'Información general'!$F$26),0)</f>
        <v>1138993</v>
      </c>
      <c r="O5" s="575">
        <f>ROUND((((J5/30)*'Información general'!$F$30)+L5+M5+N5/12+R5/12),0)</f>
        <v>1233909</v>
      </c>
      <c r="P5" s="575">
        <f>ROUND((J5+L5+M5+O5/12+N5/12+R5/12),0)</f>
        <v>2412949</v>
      </c>
      <c r="Q5" s="575">
        <f>ROUND((J5/30*2*'Información general'!$F$28),0)</f>
        <v>143495</v>
      </c>
      <c r="R5" s="575">
        <f>ROUND(IF(J5&gt;2*'Información general'!F13,J5*0.35,J5*0.5)*'Información general'!$F$31,0)</f>
        <v>753350</v>
      </c>
      <c r="S5" s="575">
        <f>ROUND((J5+K5+L5+M5+P5/12+O5/12+N5/12+Q5/12+R5/12*'Información general'!$F$26),0)</f>
        <v>2625986</v>
      </c>
      <c r="T5" s="575">
        <f>ROUND(((J5+K5)*'Información general'!$D$45),0)</f>
        <v>182956</v>
      </c>
      <c r="U5" s="575">
        <f>ROUND(((J5+K5)*'Información general'!$D$46),0)</f>
        <v>258291</v>
      </c>
      <c r="V5" s="575">
        <f>+IF(C5=1,(J5+K5)*'Información general'!$D$47,(J5+K5)*'Información general'!$D$47)</f>
        <v>11235.67416</v>
      </c>
      <c r="W5" s="575">
        <f>+(J5+K5+N5/12+O5/12+P5/12)*'Información general'!$E$49</f>
        <v>102049.95666666668</v>
      </c>
      <c r="X5" s="575">
        <f>+(J5+K5+N5/12+O5/12+P5/12)*'Información general'!$E$50</f>
        <v>76537.46750000001</v>
      </c>
      <c r="Y5" s="578">
        <f>+(J5+K5+N5/12+O5/12+P5/12)*'Información general'!$E$51</f>
        <v>51024.97833333334</v>
      </c>
      <c r="AA5" s="212" t="str">
        <f>+IF('Información general'!A60="","",'Información general'!A60)</f>
        <v>SURA EPS</v>
      </c>
      <c r="AB5" s="213" t="str">
        <f>+IF('Información general'!B60="","",'Información general'!B60)</f>
        <v>PORVENIR</v>
      </c>
      <c r="AC5" s="214" t="str">
        <f>+IF('Información general'!C60="","",'Información general'!C60)</f>
        <v>FONDO NACIONAL</v>
      </c>
      <c r="AE5" s="5" t="str">
        <f>IF((C5+D5)=0,"",IF(C5=1,CONCATENATE(E5,"ad"),CONCATENATE(E5,"as")))</f>
        <v>SURA EPSad</v>
      </c>
      <c r="AF5" s="5" t="str">
        <f>IF((C5+D5)=0,"",IF(C5=1,CONCATENATE(F5,"ad"),CONCATENATE(F5,"as")))</f>
        <v>PORVENIRad</v>
      </c>
      <c r="AG5" s="5" t="str">
        <f>IF((C5+D5)=0,"",IF(C5=1,CONCATENATE(G5,"ad"),CONCATENATE(G5,"as")))</f>
        <v>PORVENIRad</v>
      </c>
    </row>
    <row r="6" spans="1:33" s="5" customFormat="1" ht="12.75">
      <c r="A6" s="215" t="s">
        <v>657</v>
      </c>
      <c r="B6" s="216" t="s">
        <v>658</v>
      </c>
      <c r="C6" s="584">
        <v>1</v>
      </c>
      <c r="D6" s="584"/>
      <c r="E6" s="215" t="s">
        <v>538</v>
      </c>
      <c r="F6" s="216" t="s">
        <v>639</v>
      </c>
      <c r="G6" s="216" t="s">
        <v>565</v>
      </c>
      <c r="H6" s="215">
        <v>5054633.1792</v>
      </c>
      <c r="I6" s="585"/>
      <c r="J6" s="575">
        <f>ROUND((H6*'Información general'!$F$10+(H6)),0)</f>
        <v>5307365</v>
      </c>
      <c r="K6" s="575">
        <f>ROUND((I6*'Información general'!$F$10+(I6)),0)</f>
        <v>0</v>
      </c>
      <c r="L6" s="575">
        <f>+ROUND(IF(J6&lt;2*'Información general'!$F$13,'Información general'!$F$14),0)</f>
        <v>0</v>
      </c>
      <c r="M6" s="575">
        <f>+ROUND(IF(J6&lt;2*'Información general'!$F$13,'Información general'!$F$15),0)</f>
        <v>0</v>
      </c>
      <c r="N6" s="575">
        <f>ROUND(((J6/2+L6+M6+R6/12)*'Información general'!$F$26),0)</f>
        <v>2808481</v>
      </c>
      <c r="O6" s="575">
        <f>ROUND((((J6/30)*'Información general'!$F$30)+L6+M6+N6/12+R6/12),0)</f>
        <v>3042521</v>
      </c>
      <c r="P6" s="575">
        <f>ROUND((J6+L6+M6+O6/12+N6/12+R6/12),0)</f>
        <v>5949747</v>
      </c>
      <c r="Q6" s="575">
        <f>ROUND((J6/30*2*'Información general'!$F$28),0)</f>
        <v>353824</v>
      </c>
      <c r="R6" s="575">
        <f>ROUND(IF(J6&gt;2*'Información general'!F14,J6*0.35,J6*0.5)*'Información general'!$F$31,0)</f>
        <v>1857578</v>
      </c>
      <c r="S6" s="575">
        <f>ROUND((J6+K6+L6+M6+P6/12+O6/12+N6/12+Q6/12+R6/12*'Información general'!$F$26),0)</f>
        <v>6475044</v>
      </c>
      <c r="T6" s="575">
        <f>ROUND(((J6+K6)*'Información general'!$D$45),0)</f>
        <v>451126</v>
      </c>
      <c r="U6" s="575">
        <f>ROUND(((J6+K6)*'Información general'!$D$46),0)</f>
        <v>636884</v>
      </c>
      <c r="V6" s="575">
        <f>+IF(C6=1,(J6+K6)*'Información general'!$D$47,(J6+K6)*'Información general'!$D$47)</f>
        <v>27704.4453</v>
      </c>
      <c r="W6" s="575">
        <f>+(J6+K6+N6/12+O6/12+P6/12)*'Información general'!$E$49</f>
        <v>251630.43</v>
      </c>
      <c r="X6" s="575">
        <f>+(J6+K6+N6/12+O6/12+P6/12)*'Información general'!$E$50</f>
        <v>188722.82249999998</v>
      </c>
      <c r="Y6" s="578">
        <f>+(J6+K6+N6/12+O6/12+P6/12)*'Información general'!$E$51</f>
        <v>125815.215</v>
      </c>
      <c r="AA6" s="212" t="str">
        <f>+IF('Información general'!A61="","",'Información general'!A61)</f>
        <v>CRUZ BLANCA</v>
      </c>
      <c r="AB6" s="213">
        <f>+IF('Información general'!B61="","",'Información general'!B61)</f>
      </c>
      <c r="AC6" s="214" t="str">
        <f>+IF('Información general'!C61="","",'Información general'!C61)</f>
        <v> </v>
      </c>
      <c r="AE6" s="5" t="str">
        <f>IF((C6+D6)=0,"",IF(C6=1,CONCATENATE(E6,"ad"),CONCATENATE(E6,"as")))</f>
        <v>NUEVA EPSad</v>
      </c>
      <c r="AF6" s="5" t="str">
        <f>IF((C6+D6)=0,"",IF(C6=1,CONCATENATE(F6,"ad"),CONCATENATE(F6,"as")))</f>
        <v>COLPENSIONESad</v>
      </c>
      <c r="AG6" s="5" t="str">
        <f>IF((C6+D6)=0,"",IF(C6=1,CONCATENATE(G6,"ad"),CONCATENATE(G6,"as")))</f>
        <v>PORVENIRad</v>
      </c>
    </row>
    <row r="7" spans="1:33" s="5" customFormat="1" ht="12.75">
      <c r="A7" s="215" t="s">
        <v>659</v>
      </c>
      <c r="B7" s="216" t="s">
        <v>660</v>
      </c>
      <c r="C7" s="584">
        <v>1</v>
      </c>
      <c r="D7" s="584"/>
      <c r="E7" s="215" t="s">
        <v>643</v>
      </c>
      <c r="F7" s="216" t="s">
        <v>639</v>
      </c>
      <c r="G7" s="216" t="s">
        <v>564</v>
      </c>
      <c r="H7" s="215">
        <v>2143787.8464</v>
      </c>
      <c r="I7" s="585"/>
      <c r="J7" s="575">
        <f>ROUND((H7*'Información general'!$F$10+(H7)),0)</f>
        <v>2250977</v>
      </c>
      <c r="K7" s="575">
        <f>ROUND((I7*'Información general'!$F$10+(I7)),0)</f>
        <v>0</v>
      </c>
      <c r="L7" s="575">
        <f>+ROUND(IF(J7&lt;2*'Información general'!$F$13,'Información general'!$F$14),0)</f>
        <v>0</v>
      </c>
      <c r="M7" s="575">
        <f>+ROUND(IF(J7&lt;2*'Información general'!$F$13,'Información general'!$F$15),0)</f>
        <v>0</v>
      </c>
      <c r="N7" s="575">
        <f>ROUND(((J7/2+L7+M7+R7/12)*'Información general'!$F$26),0)</f>
        <v>1191142</v>
      </c>
      <c r="O7" s="575">
        <f>ROUND((((J7/30)*'Información general'!$F$30)+L7+M7+N7/12+R7/12),0)</f>
        <v>1290404</v>
      </c>
      <c r="P7" s="575">
        <f aca="true" t="shared" si="0" ref="P7:P36">ROUND((J7+L7+M7+O7/12+N7/12+R7/12),0)</f>
        <v>2523426</v>
      </c>
      <c r="Q7" s="575">
        <f>ROUND((J7/30*2*'Información general'!$F$28),0)</f>
        <v>150065</v>
      </c>
      <c r="R7" s="575">
        <f>ROUND(IF(J7&gt;2*'Información general'!F15,J7*0.35,J7*0.5)*'Información general'!$F$31,0)</f>
        <v>787842</v>
      </c>
      <c r="S7" s="575">
        <f>ROUND((J7+K7+L7+M7+P7/12+O7/12+N7/12+Q7/12+R7/12*'Información general'!$F$26),0)</f>
        <v>2746217</v>
      </c>
      <c r="T7" s="575">
        <f>ROUND(((J7+K7)*'Información general'!$D$45),0)</f>
        <v>191333</v>
      </c>
      <c r="U7" s="575">
        <f>ROUND(((J7+K7)*'Información general'!$D$46),0)</f>
        <v>270117</v>
      </c>
      <c r="V7" s="575">
        <f>+IF(C7=1,(J7+K7)*'Información general'!$D$47,(J7+K7)*'Información general'!$D$47)</f>
        <v>11750.09994</v>
      </c>
      <c r="W7" s="575">
        <f>+(J7+K7+N7/12+O7/12+P7/12)*'Información general'!$E$49</f>
        <v>106722.32</v>
      </c>
      <c r="X7" s="575">
        <f>+(J7+K7+N7/12+O7/12+P7/12)*'Información general'!$E$50</f>
        <v>80041.73999999999</v>
      </c>
      <c r="Y7" s="578">
        <f>+(J7+K7+N7/12+O7/12+P7/12)*'Información general'!$E$51</f>
        <v>53361.16</v>
      </c>
      <c r="AA7" s="212" t="str">
        <f>+IF('Información general'!A62="","",'Información general'!A62)</f>
        <v>MEDIMAS</v>
      </c>
      <c r="AB7" s="213" t="str">
        <f>+IF('Información general'!B62="","",'Información general'!B62)</f>
        <v> </v>
      </c>
      <c r="AC7" s="214" t="str">
        <f>+IF('Información general'!C62="","",'Información general'!C62)</f>
        <v> </v>
      </c>
      <c r="AE7" s="5" t="str">
        <f>IF((C7+D7)=0,"",IF(C7=1,CONCATENATE(E7,"ad"),CONCATENATE(E7,"as")))</f>
        <v>SALUD TOTALad</v>
      </c>
      <c r="AF7" s="5" t="str">
        <f>IF((C7+D7)=0,"",IF(C7=1,CONCATENATE(F7,"ad"),CONCATENATE(F7,"as")))</f>
        <v>COLPENSIONESad</v>
      </c>
      <c r="AG7" s="5" t="str">
        <f>IF((C7+D7)=0,"",IF(C7=1,CONCATENATE(G7,"ad"),CONCATENATE(G7,"as")))</f>
        <v>PROTECCIONad</v>
      </c>
    </row>
    <row r="8" spans="1:29" s="5" customFormat="1" ht="12.75">
      <c r="A8" s="215" t="s">
        <v>661</v>
      </c>
      <c r="B8" s="216" t="s">
        <v>662</v>
      </c>
      <c r="C8" s="584">
        <v>1</v>
      </c>
      <c r="D8" s="584"/>
      <c r="E8" s="215" t="s">
        <v>648</v>
      </c>
      <c r="F8" s="216" t="s">
        <v>564</v>
      </c>
      <c r="G8" s="216" t="s">
        <v>564</v>
      </c>
      <c r="H8" s="215">
        <v>1792198.2384</v>
      </c>
      <c r="I8" s="585"/>
      <c r="J8" s="575">
        <f>ROUND((H8*'Información general'!$F$10+(H8)),0)</f>
        <v>1881808</v>
      </c>
      <c r="K8" s="575">
        <f>ROUND((I8*'Información general'!$F$10+(I8)),0)</f>
        <v>0</v>
      </c>
      <c r="L8" s="575">
        <f>+ROUND(IF(J8&lt;2*'Información general'!$F$13,'Información general'!$F$14),0)</f>
        <v>0</v>
      </c>
      <c r="M8" s="575">
        <f>+M36</f>
        <v>66098</v>
      </c>
      <c r="N8" s="575">
        <f>ROUND(((J8/2+L8+M8+R8/12)*'Información general'!$F$26),0)</f>
        <v>1061888</v>
      </c>
      <c r="O8" s="575">
        <f>ROUND((((J8/30)*'Información general'!$F$30)+L8+M8+N8/12+R8/12),0)</f>
        <v>1150379</v>
      </c>
      <c r="P8" s="575">
        <f t="shared" si="0"/>
        <v>2187148</v>
      </c>
      <c r="Q8" s="575">
        <f>ROUND((J8/30*2*'Información general'!$F$28),0)</f>
        <v>125454</v>
      </c>
      <c r="R8" s="575">
        <f>ROUND(IF(J8&gt;2*'Información general'!F16,J8*0.35,J8*0.5)*'Información general'!$F$31,0)</f>
        <v>658633</v>
      </c>
      <c r="S8" s="575">
        <f>ROUND((J8+K8+L8+M8+P8/12+O8/12+N8/12+Q8/12+R8/12*'Información general'!$F$26),0)</f>
        <v>2379865</v>
      </c>
      <c r="T8" s="575">
        <f>ROUND(((J8+K8)*'Información general'!$D$45),0)</f>
        <v>159954</v>
      </c>
      <c r="U8" s="575">
        <f>ROUND(((J8+K8)*'Información general'!$D$46),0)</f>
        <v>225817</v>
      </c>
      <c r="V8" s="575">
        <f>+IF(C8=1,(J8+K8)*'Información general'!$D$47,(J8+K8)*'Información general'!$D$48)</f>
        <v>9823.03776</v>
      </c>
      <c r="W8" s="575">
        <f>+(J8+K8+N8/12+O8/12+P8/12)*'Información general'!$E$49</f>
        <v>89937.03666666668</v>
      </c>
      <c r="X8" s="575">
        <f>+(J8+K8+N8/12+O8/12+P8/12)*'Información general'!$E$50</f>
        <v>67452.77750000001</v>
      </c>
      <c r="Y8" s="578">
        <f>+(J8+K8+N8/12+O8/12+P8/12)*'Información general'!$E$51</f>
        <v>44968.51833333334</v>
      </c>
      <c r="AA8" s="593"/>
      <c r="AB8" s="594"/>
      <c r="AC8" s="595"/>
    </row>
    <row r="9" spans="1:29" s="5" customFormat="1" ht="12.75">
      <c r="A9" s="215" t="s">
        <v>663</v>
      </c>
      <c r="B9" s="216" t="s">
        <v>664</v>
      </c>
      <c r="C9" s="584">
        <v>1</v>
      </c>
      <c r="D9" s="584"/>
      <c r="E9" s="215" t="s">
        <v>642</v>
      </c>
      <c r="F9" s="216" t="s">
        <v>565</v>
      </c>
      <c r="G9" s="216" t="s">
        <v>565</v>
      </c>
      <c r="H9" s="215">
        <v>5654255.5296</v>
      </c>
      <c r="I9" s="585"/>
      <c r="J9" s="575">
        <f>ROUND((H9*'Información general'!$F$10+(H9)),0)</f>
        <v>5936968</v>
      </c>
      <c r="K9" s="575">
        <f>ROUND((I9*'Información general'!$F$10+(I9)),0)</f>
        <v>0</v>
      </c>
      <c r="L9" s="575">
        <f>+ROUND(IF(J9&lt;2*'Información general'!$F$13,'Información general'!$F$14),0)</f>
        <v>0</v>
      </c>
      <c r="M9" s="575">
        <f>+ROUND(IF(J9&lt;2*'Información general'!$F$13,'Información general'!$F$15),0)</f>
        <v>0</v>
      </c>
      <c r="N9" s="575">
        <f>ROUND(((J9/2+L9+M9+R9/12)*'Información general'!$F$26),0)</f>
        <v>3141646</v>
      </c>
      <c r="O9" s="575">
        <f>ROUND((((J9/30)*'Información general'!$F$30)+L9+M9+N9/12+R9/12),0)</f>
        <v>3403449</v>
      </c>
      <c r="P9" s="575">
        <f t="shared" si="0"/>
        <v>6655554</v>
      </c>
      <c r="Q9" s="575">
        <f>ROUND((J9/30*2*'Información general'!$F$28),0)</f>
        <v>395798</v>
      </c>
      <c r="R9" s="575">
        <f>ROUND(IF(J9&gt;2*'Información general'!F17,J9*0.35,J9*0.5)*'Información general'!$F$31,0)</f>
        <v>2077939</v>
      </c>
      <c r="S9" s="575">
        <f>ROUND((J9+K9+L9+M9+P9/12+O9/12+N9/12+Q9/12+R9/12*'Información general'!$F$26),0)</f>
        <v>7243167</v>
      </c>
      <c r="T9" s="575">
        <f>ROUND(((J9+K9)*'Información general'!$D$45),0)</f>
        <v>504642</v>
      </c>
      <c r="U9" s="575">
        <f>ROUND(((J9+K9)*'Información general'!$D$46),0)</f>
        <v>712436</v>
      </c>
      <c r="V9" s="575">
        <f>+IF(C9=1,(J9+K9)*'Información general'!$D$47,(J9+K9)*'Información general'!$D$48)</f>
        <v>30990.97296</v>
      </c>
      <c r="W9" s="575">
        <f>+(J9+K9+N9/12+O9/12+P9/12)*'Información general'!$E$49</f>
        <v>281480.8833333333</v>
      </c>
      <c r="X9" s="575">
        <f>+(J9+K9+N9/12+O9/12+P9/12)*'Información general'!$E$50</f>
        <v>211110.66249999998</v>
      </c>
      <c r="Y9" s="578">
        <f>+(J9+K9+N9/12+O9/12+P9/12)*'Información general'!$E$51</f>
        <v>140740.44166666665</v>
      </c>
      <c r="AA9" s="212"/>
      <c r="AB9" s="213"/>
      <c r="AC9" s="214"/>
    </row>
    <row r="10" spans="1:29" s="5" customFormat="1" ht="12.75">
      <c r="A10" s="215" t="s">
        <v>702</v>
      </c>
      <c r="B10" s="216" t="s">
        <v>665</v>
      </c>
      <c r="C10" s="584">
        <v>1</v>
      </c>
      <c r="D10" s="589"/>
      <c r="E10" s="215" t="s">
        <v>648</v>
      </c>
      <c r="F10" s="216" t="s">
        <v>639</v>
      </c>
      <c r="G10" s="216" t="s">
        <v>564</v>
      </c>
      <c r="H10" s="215">
        <v>7571623.3056</v>
      </c>
      <c r="I10" s="585"/>
      <c r="J10" s="575">
        <f>ROUND((H10*'Información general'!$F$10+(H10)),0)</f>
        <v>7950204</v>
      </c>
      <c r="K10" s="575">
        <f>ROUND((I10*'Información general'!$F$10+(I10)),0)</f>
        <v>0</v>
      </c>
      <c r="L10" s="575">
        <f>+ROUND(IF(J10&lt;2*'Información general'!$F$13,'Información general'!$F$14),0)</f>
        <v>0</v>
      </c>
      <c r="M10" s="575">
        <f>+ROUND(IF(J10&lt;2*'Información general'!$F$13,'Información general'!$F$15),0)</f>
        <v>0</v>
      </c>
      <c r="N10" s="575">
        <f>ROUND(((J10/2+L10+M10+R10/12)*'Información general'!$F$26),0)</f>
        <v>4206983</v>
      </c>
      <c r="O10" s="575">
        <f>ROUND((((J10/30)*'Información general'!$F$30)+L10+M10+N10/12+R10/12),0)</f>
        <v>4557565</v>
      </c>
      <c r="P10" s="575">
        <f t="shared" si="0"/>
        <v>8912464</v>
      </c>
      <c r="Q10" s="575">
        <f>ROUND((J10/30*2*'Información general'!$F$28),0)</f>
        <v>530014</v>
      </c>
      <c r="R10" s="575">
        <f>ROUND(IF(J10&gt;2*'Información general'!F18,J10*0.35,J10*0.5)*'Información general'!$F$31,0)</f>
        <v>2782571</v>
      </c>
      <c r="S10" s="575">
        <f>ROUND((J10+K10+L10+M10+P10/12+O10/12+N10/12+Q10/12+R10/12*'Información general'!$F$26),0)</f>
        <v>9699337</v>
      </c>
      <c r="T10" s="575">
        <f>ROUND(((J10+K10)*'Información general'!$D$45),0)</f>
        <v>675767</v>
      </c>
      <c r="U10" s="575">
        <f>ROUND(((J10+K10)*'Información general'!$D$46),0)</f>
        <v>954024</v>
      </c>
      <c r="V10" s="575">
        <f>+IF(C10=1,(J10+K10)*'Información general'!$D$47,(J10+K10)*'Información general'!$D$48)</f>
        <v>41500.06488</v>
      </c>
      <c r="W10" s="575">
        <f>+(J10+K10+N10/12+O10/12+P10/12)*'Información general'!$E$49</f>
        <v>376931.5333333334</v>
      </c>
      <c r="X10" s="575">
        <f>+(J10+K10+N10/12+O10/12+P10/12)*'Información general'!$E$50</f>
        <v>282698.65</v>
      </c>
      <c r="Y10" s="578">
        <f>+(J10+K10+N10/12+O10/12+P10/12)*'Información general'!$E$51</f>
        <v>188465.7666666667</v>
      </c>
      <c r="AA10" s="212"/>
      <c r="AB10" s="213"/>
      <c r="AC10" s="214"/>
    </row>
    <row r="11" spans="1:29" s="5" customFormat="1" ht="12.75">
      <c r="A11" s="215" t="s">
        <v>700</v>
      </c>
      <c r="B11" s="216" t="s">
        <v>666</v>
      </c>
      <c r="C11" s="584">
        <v>1</v>
      </c>
      <c r="D11" s="584"/>
      <c r="E11" s="215" t="s">
        <v>538</v>
      </c>
      <c r="F11" s="216" t="s">
        <v>639</v>
      </c>
      <c r="G11" s="216" t="s">
        <v>644</v>
      </c>
      <c r="H11" s="215">
        <v>7573356.7344</v>
      </c>
      <c r="I11" s="585"/>
      <c r="J11" s="575">
        <f>ROUND((H11*'Información general'!$F$10+(H11)),0)</f>
        <v>7952025</v>
      </c>
      <c r="K11" s="575">
        <f>ROUND((I11*'Información general'!$F$10+(I11)),0)</f>
        <v>0</v>
      </c>
      <c r="L11" s="575">
        <f>+ROUND(IF(J11&lt;2*'Información general'!$F$13,'Información general'!$F$14),0)</f>
        <v>0</v>
      </c>
      <c r="M11" s="575">
        <f>+ROUND(IF(J11&lt;2*'Información general'!$F$13,'Información general'!$F$15),0)</f>
        <v>0</v>
      </c>
      <c r="N11" s="575">
        <f>ROUND(((J11/2+L11+M11+R11/12)*'Información general'!$F$26),0)</f>
        <v>4207947</v>
      </c>
      <c r="O11" s="575">
        <f>ROUND((((J11/30)*'Información general'!$F$30)+L11+M11+N11/12+R11/12),0)</f>
        <v>4558609</v>
      </c>
      <c r="P11" s="575">
        <f t="shared" si="0"/>
        <v>8914505</v>
      </c>
      <c r="Q11" s="575">
        <f>ROUND((J11/30*2*'Información general'!$F$28),0)</f>
        <v>530135</v>
      </c>
      <c r="R11" s="575">
        <f>ROUND(IF(J11&gt;2*'Información general'!F19,J11*0.35,J11*0.5)*'Información general'!$F$31,0)</f>
        <v>2783209</v>
      </c>
      <c r="S11" s="575">
        <f>ROUND((J11+K11+L11+M11+P11/12+O11/12+N11/12+Q11/12+R11/12*'Información general'!$F$26),0)</f>
        <v>9701559</v>
      </c>
      <c r="T11" s="575">
        <f>ROUND(((J11+K11)*'Información general'!$D$45),0)</f>
        <v>675922</v>
      </c>
      <c r="U11" s="575">
        <f>ROUND(((J11+K11)*'Información general'!$D$46),0)</f>
        <v>954243</v>
      </c>
      <c r="V11" s="575">
        <f>+IF(C11=1,(J11+K11)*'Información general'!$D$47,(J11+K11)*'Información general'!$D$48)</f>
        <v>41509.5705</v>
      </c>
      <c r="W11" s="575">
        <f>+(J11+K11+N11/12+O11/12+P11/12)*'Información general'!$E$49</f>
        <v>377017.87</v>
      </c>
      <c r="X11" s="575">
        <f>+(J11+K11+N11/12+O11/12+P11/12)*'Información general'!$E$50</f>
        <v>282763.40249999997</v>
      </c>
      <c r="Y11" s="578">
        <f>+(J11+K11+N11/12+O11/12+P11/12)*'Información general'!$E$51</f>
        <v>188508.935</v>
      </c>
      <c r="AA11" s="212"/>
      <c r="AB11" s="213"/>
      <c r="AC11" s="214"/>
    </row>
    <row r="12" spans="1:29" s="5" customFormat="1" ht="12.75">
      <c r="A12" s="215" t="s">
        <v>701</v>
      </c>
      <c r="B12" s="216" t="s">
        <v>667</v>
      </c>
      <c r="C12" s="584">
        <v>1</v>
      </c>
      <c r="D12" s="584"/>
      <c r="E12" s="215" t="s">
        <v>648</v>
      </c>
      <c r="F12" s="216" t="s">
        <v>639</v>
      </c>
      <c r="G12" s="216" t="s">
        <v>564</v>
      </c>
      <c r="H12" s="215">
        <v>12383881.3008</v>
      </c>
      <c r="I12" s="585"/>
      <c r="J12" s="575">
        <f>ROUND((H12*'Información general'!$F$10+(H12)),0)</f>
        <v>13003075</v>
      </c>
      <c r="K12" s="575">
        <f>ROUND((I12*'Información general'!$F$10+(I12)),0)</f>
        <v>0</v>
      </c>
      <c r="L12" s="575">
        <f>+ROUND(IF(J12&lt;2*'Información general'!$F$13,'Información general'!$F$14),0)</f>
        <v>0</v>
      </c>
      <c r="M12" s="575">
        <f>+ROUND(IF(J12&lt;2*'Información general'!$F$13,'Información general'!$F$15),0)</f>
        <v>0</v>
      </c>
      <c r="N12" s="575">
        <f>ROUND(((J12/2+L12+M12+R12/12)*'Información general'!$F$26),0)</f>
        <v>6880794</v>
      </c>
      <c r="O12" s="575">
        <f>ROUND((((J12/30)*'Información general'!$F$30)+L12+M12+N12/12+R12/12),0)</f>
        <v>7454193</v>
      </c>
      <c r="P12" s="575">
        <f t="shared" si="0"/>
        <v>14576914</v>
      </c>
      <c r="Q12" s="575">
        <f>ROUND((J12/30*2*'Información general'!$F$28),0)</f>
        <v>866872</v>
      </c>
      <c r="R12" s="575">
        <f>ROUND(IF(J12&gt;2*'Información general'!F20,J12*0.35,J12*0.5)*'Información general'!$F$31,0)</f>
        <v>4551076</v>
      </c>
      <c r="S12" s="575">
        <f>ROUND((J12+K12+L12+M12+P12/12+O12/12+N12/12+Q12/12+R12/12*'Información general'!$F$26),0)</f>
        <v>15863896</v>
      </c>
      <c r="T12" s="575">
        <f>ROUND(((J12+K12)*'Información general'!$D$45),0)</f>
        <v>1105261</v>
      </c>
      <c r="U12" s="575">
        <f>ROUND(((J12+K12)*'Información general'!$D$46),0)</f>
        <v>1560369</v>
      </c>
      <c r="V12" s="575">
        <f>+IF(C12=1,(J12+K12)*'Información general'!$D$47,(J12+K12)*'Información general'!$D$48)</f>
        <v>67876.0515</v>
      </c>
      <c r="W12" s="575">
        <f>+(J12+K12+N12/12+O12/12+P12/12)*'Información general'!$E$49</f>
        <v>616496.0033333334</v>
      </c>
      <c r="X12" s="575">
        <f>+(J12+K12+N12/12+O12/12+P12/12)*'Información general'!$E$50</f>
        <v>462372.0025</v>
      </c>
      <c r="Y12" s="578">
        <f>+(J12+K12+N12/12+O12/12+P12/12)*'Información general'!$E$51</f>
        <v>308248.0016666667</v>
      </c>
      <c r="AA12" s="212"/>
      <c r="AB12" s="213"/>
      <c r="AC12" s="214"/>
    </row>
    <row r="13" spans="1:29" s="5" customFormat="1" ht="12.75">
      <c r="A13" s="215" t="s">
        <v>668</v>
      </c>
      <c r="B13" s="216" t="s">
        <v>669</v>
      </c>
      <c r="C13" s="584"/>
      <c r="D13" s="584">
        <v>1</v>
      </c>
      <c r="E13" s="215" t="s">
        <v>648</v>
      </c>
      <c r="F13" s="216" t="s">
        <v>639</v>
      </c>
      <c r="G13" s="216" t="s">
        <v>565</v>
      </c>
      <c r="H13" s="215">
        <v>2049931.4544</v>
      </c>
      <c r="I13" s="585">
        <v>680748.070482</v>
      </c>
      <c r="J13" s="575">
        <f>ROUND((H13*'Información general'!$F$10+(H13)),0)</f>
        <v>2152428</v>
      </c>
      <c r="K13" s="575">
        <f>ROUND((I13*'Información general'!$F$10+(I13)),0)</f>
        <v>714785</v>
      </c>
      <c r="L13" s="575">
        <f>+ROUND(IF(J13&lt;2*'Información general'!$F$13,'Información general'!$F$14),0)</f>
        <v>0</v>
      </c>
      <c r="M13" s="575">
        <f>+ROUND(IF(J13&lt;2*'Información general'!$F$13,'Información general'!$F$15),0)</f>
        <v>0</v>
      </c>
      <c r="N13" s="575">
        <f>ROUND(((J13/2+L13+M13+R13/12)*'Información general'!$F$26),0)</f>
        <v>1138993</v>
      </c>
      <c r="O13" s="575">
        <f>ROUND((((J13/30)*'Información general'!$F$30)+L13+M13+N13/12+R13/12),0)</f>
        <v>1233909</v>
      </c>
      <c r="P13" s="575">
        <f t="shared" si="0"/>
        <v>2412949</v>
      </c>
      <c r="Q13" s="575">
        <f>ROUND((J13/30*2*'Información general'!$F$28),0)</f>
        <v>143495</v>
      </c>
      <c r="R13" s="575">
        <f>ROUND(IF(J13&gt;2*'Información general'!F21,J13*0.35,J13*0.5)*'Información general'!$F$31,0)</f>
        <v>753350</v>
      </c>
      <c r="S13" s="575">
        <f>ROUND((J13+K13+L13+M13+P13/12+O13/12+N13/12+Q13/12+R13/12*'Información general'!$F$26),0)</f>
        <v>3340771</v>
      </c>
      <c r="T13" s="575">
        <f>ROUND(((J13+K13)*'Información general'!$D$45),0)</f>
        <v>243713</v>
      </c>
      <c r="U13" s="575">
        <f>ROUND(((J13+K13)*'Información general'!$D$46),0)</f>
        <v>344066</v>
      </c>
      <c r="V13" s="575">
        <f>+IF(C13=1,(J13+K13)*'Información general'!$D$47,(J13+K13)*'Información general'!$D$48)</f>
        <v>69845.30868</v>
      </c>
      <c r="W13" s="575">
        <f>+(J13+K13+N13/12+O13/12+P13/12)*'Información general'!$E$49</f>
        <v>130641.35666666669</v>
      </c>
      <c r="X13" s="575">
        <f>+(J13+K13+N13/12+O13/12+P13/12)*'Información general'!$E$50</f>
        <v>97981.0175</v>
      </c>
      <c r="Y13" s="578">
        <f>+(J13+K13+N13/12+O13/12+P13/12)*'Información general'!$E$51</f>
        <v>65320.678333333344</v>
      </c>
      <c r="AA13" s="212"/>
      <c r="AB13" s="213"/>
      <c r="AC13" s="214"/>
    </row>
    <row r="14" spans="1:29" s="5" customFormat="1" ht="12.75">
      <c r="A14" s="215" t="s">
        <v>670</v>
      </c>
      <c r="B14" s="216" t="s">
        <v>669</v>
      </c>
      <c r="C14" s="584"/>
      <c r="D14" s="584">
        <v>1</v>
      </c>
      <c r="E14" s="215" t="s">
        <v>648</v>
      </c>
      <c r="F14" s="216" t="s">
        <v>639</v>
      </c>
      <c r="G14" s="216" t="s">
        <v>565</v>
      </c>
      <c r="H14" s="215">
        <v>2049931.4544</v>
      </c>
      <c r="I14" s="585">
        <v>680748.070482</v>
      </c>
      <c r="J14" s="575">
        <f>ROUND((H14*'Información general'!$F$10+(H14)),0)</f>
        <v>2152428</v>
      </c>
      <c r="K14" s="575">
        <f>ROUND((I14*'Información general'!$F$10+(I14)),0)</f>
        <v>714785</v>
      </c>
      <c r="L14" s="575">
        <f>+ROUND(IF(J14&lt;2*'Información general'!$F$13,'Información general'!$F$14),0)</f>
        <v>0</v>
      </c>
      <c r="M14" s="575">
        <f>+ROUND(IF(J14&lt;2*'Información general'!$F$13,'Información general'!$F$15),0)</f>
        <v>0</v>
      </c>
      <c r="N14" s="575">
        <f>ROUND(((J14/2+L14+M14+R14/12)*'Información general'!$F$26),0)</f>
        <v>1138993</v>
      </c>
      <c r="O14" s="575">
        <f>ROUND((((J14/30)*'Información general'!$F$30)+L14+M14+N14/12+R14/12),0)</f>
        <v>1233909</v>
      </c>
      <c r="P14" s="575">
        <f t="shared" si="0"/>
        <v>2412949</v>
      </c>
      <c r="Q14" s="575">
        <f>ROUND((J14/30*2*'Información general'!$F$28),0)</f>
        <v>143495</v>
      </c>
      <c r="R14" s="575">
        <f>ROUND(IF(J14&gt;2*'Información general'!F22,J14*0.35,J14*0.5)*'Información general'!$F$31,0)</f>
        <v>753350</v>
      </c>
      <c r="S14" s="575">
        <f>ROUND((J14+K14+L14+M14+P14/12+O14/12+N14/12+Q14/12+R14/12*'Información general'!$F$26),0)</f>
        <v>3340771</v>
      </c>
      <c r="T14" s="575">
        <f>ROUND(((J14+K14)*'Información general'!$D$45),0)</f>
        <v>243713</v>
      </c>
      <c r="U14" s="575">
        <f>ROUND(((J14+K14)*'Información general'!$D$46),0)</f>
        <v>344066</v>
      </c>
      <c r="V14" s="575">
        <f>+IF(C14=1,(J14+K14)*'Información general'!$D$47,(J14+K14)*'Información general'!$D$48)</f>
        <v>69845.30868</v>
      </c>
      <c r="W14" s="575">
        <f>+(J14+K14+N14/12+O14/12+P14/12)*'Información general'!$E$49</f>
        <v>130641.35666666669</v>
      </c>
      <c r="X14" s="575">
        <f>+(J14+K14+N14/12+O14/12+P14/12)*'Información general'!$E$50</f>
        <v>97981.0175</v>
      </c>
      <c r="Y14" s="578">
        <f>+(J14+K14+N14/12+O14/12+P14/12)*'Información general'!$E$51</f>
        <v>65320.678333333344</v>
      </c>
      <c r="AA14" s="212"/>
      <c r="AB14" s="213"/>
      <c r="AC14" s="214"/>
    </row>
    <row r="15" spans="1:29" s="5" customFormat="1" ht="12.75">
      <c r="A15" s="215" t="s">
        <v>671</v>
      </c>
      <c r="B15" s="216" t="s">
        <v>669</v>
      </c>
      <c r="C15" s="584"/>
      <c r="D15" s="584">
        <v>1</v>
      </c>
      <c r="E15" s="215" t="s">
        <v>643</v>
      </c>
      <c r="F15" s="216" t="s">
        <v>639</v>
      </c>
      <c r="G15" s="216" t="s">
        <v>564</v>
      </c>
      <c r="H15" s="215">
        <v>2049931.4544</v>
      </c>
      <c r="I15" s="585"/>
      <c r="J15" s="575">
        <f>ROUND((H15*'Información general'!$F$10+(H15)),0)</f>
        <v>2152428</v>
      </c>
      <c r="K15" s="575">
        <f>ROUND((I15*'Información general'!$F$10+(I15)),0)</f>
        <v>0</v>
      </c>
      <c r="L15" s="575">
        <f>+ROUND(IF(J15&lt;2*'Información general'!$F$13,'Información general'!$F$14),0)</f>
        <v>0</v>
      </c>
      <c r="M15" s="575">
        <f>+ROUND(IF(J15&lt;2*'Información general'!$F$13,'Información general'!$F$15),0)</f>
        <v>0</v>
      </c>
      <c r="N15" s="575">
        <f>ROUND(((J15/2+L15+M15+R15/12)*'Información general'!$F$26),0)</f>
        <v>1138993</v>
      </c>
      <c r="O15" s="575">
        <f>ROUND((((J15/30)*'Información general'!$F$30)+L15+M15+N15/12+R15/12),0)</f>
        <v>1233909</v>
      </c>
      <c r="P15" s="575">
        <f t="shared" si="0"/>
        <v>2412949</v>
      </c>
      <c r="Q15" s="575">
        <f>ROUND((J15/30*2*'Información general'!$F$28),0)</f>
        <v>143495</v>
      </c>
      <c r="R15" s="575">
        <f>ROUND(IF(J15&gt;2*'Información general'!F23,J15*0.35,J15*0.5)*'Información general'!$F$31,0)</f>
        <v>753350</v>
      </c>
      <c r="S15" s="575">
        <f>ROUND((J15+K15+L15+M15+P15/12+O15/12+N15/12+Q15/12+R15/12*'Información general'!$F$26),0)</f>
        <v>2625986</v>
      </c>
      <c r="T15" s="575">
        <f>ROUND(((J15+K15)*'Información general'!$D$45),0)</f>
        <v>182956</v>
      </c>
      <c r="U15" s="575">
        <f>ROUND(((J15+K15)*'Información general'!$D$46),0)</f>
        <v>258291</v>
      </c>
      <c r="V15" s="575">
        <f>+IF(C15=1,(J15+K15)*'Información general'!$D$47,(J15+K15)*'Información general'!$D$48)</f>
        <v>52433.14608</v>
      </c>
      <c r="W15" s="575">
        <f>+(J15+K15+N15/12+O15/12+P15/12)*'Información general'!$E$49</f>
        <v>102049.95666666668</v>
      </c>
      <c r="X15" s="575">
        <f>+(J15+K15+N15/12+O15/12+P15/12)*'Información general'!$E$50</f>
        <v>76537.46750000001</v>
      </c>
      <c r="Y15" s="578">
        <f>+(J15+K15+N15/12+O15/12+P15/12)*'Información general'!$E$51</f>
        <v>51024.97833333334</v>
      </c>
      <c r="AA15" s="212"/>
      <c r="AB15" s="213"/>
      <c r="AC15" s="214"/>
    </row>
    <row r="16" spans="1:29" s="5" customFormat="1" ht="12.75">
      <c r="A16" s="215" t="s">
        <v>672</v>
      </c>
      <c r="B16" s="216" t="s">
        <v>669</v>
      </c>
      <c r="C16" s="584"/>
      <c r="D16" s="584">
        <v>1</v>
      </c>
      <c r="E16" s="215" t="s">
        <v>646</v>
      </c>
      <c r="F16" s="216" t="s">
        <v>639</v>
      </c>
      <c r="G16" s="216" t="s">
        <v>564</v>
      </c>
      <c r="H16" s="215">
        <v>3810363.48</v>
      </c>
      <c r="I16" s="585"/>
      <c r="J16" s="575">
        <f>ROUND((H16*'Información general'!$F$10+(H16)),0)</f>
        <v>4000882</v>
      </c>
      <c r="K16" s="575">
        <f>ROUND((I16*'Información general'!$F$10+(I16)),0)</f>
        <v>0</v>
      </c>
      <c r="L16" s="575">
        <f>+ROUND(IF(J16&lt;2*'Información general'!$F$13,'Información general'!$F$14),0)</f>
        <v>0</v>
      </c>
      <c r="M16" s="575">
        <f>+ROUND(IF(J16&lt;2*'Información general'!$F$13,'Información general'!$F$15),0)</f>
        <v>0</v>
      </c>
      <c r="N16" s="575">
        <f>ROUND(((J16/2+L16+M16+R16/12)*'Información general'!$F$26),0)</f>
        <v>2117133</v>
      </c>
      <c r="O16" s="575">
        <f>ROUND((((J16/30)*'Información general'!$F$30)+L16+M16+N16/12+R16/12),0)</f>
        <v>2293561</v>
      </c>
      <c r="P16" s="575">
        <f t="shared" si="0"/>
        <v>4485132</v>
      </c>
      <c r="Q16" s="575">
        <f>ROUND((J16/30*2*'Información general'!$F$28),0)</f>
        <v>266725</v>
      </c>
      <c r="R16" s="575">
        <f>ROUND(IF(J16&gt;2*'Información general'!F24,J16*0.35,J16*0.5)*'Información general'!$F$31,0)</f>
        <v>1400309</v>
      </c>
      <c r="S16" s="575">
        <f>ROUND((J16+K16+L16+M16+P16/12+O16/12+N16/12+Q16/12+R16/12*'Información general'!$F$26),0)</f>
        <v>4881120</v>
      </c>
      <c r="T16" s="575">
        <f>ROUND(((J16+K16)*'Información general'!$D$45),0)</f>
        <v>340075</v>
      </c>
      <c r="U16" s="575">
        <f>ROUND(((J16+K16)*'Información general'!$D$46),0)</f>
        <v>480106</v>
      </c>
      <c r="V16" s="575">
        <f>+IF(C16=1,(J16+K16)*'Información general'!$D$47,(J16+K16)*'Información general'!$D$48)</f>
        <v>97461.48552</v>
      </c>
      <c r="W16" s="575">
        <f>+(J16+K16+N16/12+O16/12+P16/12)*'Información general'!$E$49</f>
        <v>189688.03333333333</v>
      </c>
      <c r="X16" s="575">
        <f>+(J16+K16+N16/12+O16/12+P16/12)*'Información general'!$E$50</f>
        <v>142266.025</v>
      </c>
      <c r="Y16" s="578">
        <f>+(J16+K16+N16/12+O16/12+P16/12)*'Información general'!$E$51</f>
        <v>94844.01666666666</v>
      </c>
      <c r="AA16" s="212"/>
      <c r="AB16" s="213"/>
      <c r="AC16" s="214"/>
    </row>
    <row r="17" spans="1:29" s="5" customFormat="1" ht="12.75">
      <c r="A17" s="215" t="s">
        <v>673</v>
      </c>
      <c r="B17" s="216" t="s">
        <v>669</v>
      </c>
      <c r="C17" s="584"/>
      <c r="D17" s="584">
        <v>1</v>
      </c>
      <c r="E17" s="215" t="s">
        <v>648</v>
      </c>
      <c r="F17" s="216" t="s">
        <v>639</v>
      </c>
      <c r="G17" s="216" t="s">
        <v>564</v>
      </c>
      <c r="H17" s="215">
        <v>2049931.4544</v>
      </c>
      <c r="I17" s="585">
        <v>680748.070482</v>
      </c>
      <c r="J17" s="575">
        <f>ROUND((H17*'Información general'!$F$10+(H17)),0)</f>
        <v>2152428</v>
      </c>
      <c r="K17" s="575">
        <f>ROUND((I17*'Información general'!$F$10+(I17)),0)</f>
        <v>714785</v>
      </c>
      <c r="L17" s="575">
        <f>+ROUND(IF(J17&lt;2*'Información general'!$F$13,'Información general'!$F$14),0)</f>
        <v>0</v>
      </c>
      <c r="M17" s="575">
        <f>+ROUND(IF(J17&lt;2*'Información general'!$F$13,'Información general'!$F$15),0)</f>
        <v>0</v>
      </c>
      <c r="N17" s="575">
        <f>ROUND(((J17/2+L17+M17+R17/12)*'Información general'!$F$26),0)</f>
        <v>1138993</v>
      </c>
      <c r="O17" s="575">
        <f>ROUND((((J17/30)*'Información general'!$F$30)+L17+M17+N17/12+R17/12),0)</f>
        <v>1233909</v>
      </c>
      <c r="P17" s="575">
        <f t="shared" si="0"/>
        <v>2412949</v>
      </c>
      <c r="Q17" s="575">
        <f>ROUND((J17/30*2*'Información general'!$F$28),0)</f>
        <v>143495</v>
      </c>
      <c r="R17" s="575">
        <f>ROUND(IF(J17&gt;2*'Información general'!F25,J17*0.35,J17*0.5)*'Información general'!$F$31,0)</f>
        <v>753350</v>
      </c>
      <c r="S17" s="575">
        <f>ROUND((J17+K17+L17+M17+P17/12+O17/12+N17/12+Q17/12+R17/12*'Información general'!$F$26),0)</f>
        <v>3340771</v>
      </c>
      <c r="T17" s="575">
        <f>ROUND(((J17+K17)*'Información general'!$D$45),0)</f>
        <v>243713</v>
      </c>
      <c r="U17" s="575">
        <f>ROUND(((J17+K17)*'Información general'!$D$46),0)</f>
        <v>344066</v>
      </c>
      <c r="V17" s="575">
        <f>+IF(C17=1,(J17+K17)*'Información general'!$D$47,(J17+K17)*'Información general'!$D$48)</f>
        <v>69845.30868</v>
      </c>
      <c r="W17" s="575">
        <f>+(J17+K17+N17/12+O17/12+P17/12)*'Información general'!$E$49</f>
        <v>130641.35666666669</v>
      </c>
      <c r="X17" s="575">
        <f>+(J17+K17+N17/12+O17/12+P17/12)*'Información general'!$E$50</f>
        <v>97981.0175</v>
      </c>
      <c r="Y17" s="578">
        <f>+(J17+K17+N17/12+O17/12+P17/12)*'Información general'!$E$51</f>
        <v>65320.678333333344</v>
      </c>
      <c r="AA17" s="212"/>
      <c r="AB17" s="213"/>
      <c r="AC17" s="214"/>
    </row>
    <row r="18" spans="1:29" s="5" customFormat="1" ht="12.75">
      <c r="A18" s="215" t="s">
        <v>674</v>
      </c>
      <c r="B18" s="216" t="s">
        <v>669</v>
      </c>
      <c r="C18" s="584"/>
      <c r="D18" s="584">
        <v>1</v>
      </c>
      <c r="E18" s="215" t="s">
        <v>648</v>
      </c>
      <c r="F18" s="216" t="s">
        <v>565</v>
      </c>
      <c r="G18" s="216" t="s">
        <v>565</v>
      </c>
      <c r="H18" s="215">
        <v>5280016.7664</v>
      </c>
      <c r="I18" s="585"/>
      <c r="J18" s="575">
        <f>ROUND((H18*'Información general'!$F$10+(H18)),0)</f>
        <v>5544018</v>
      </c>
      <c r="K18" s="575">
        <f>ROUND((I18*'Información general'!$F$10+(I18)),0)</f>
        <v>0</v>
      </c>
      <c r="L18" s="575">
        <f>+ROUND(IF(J18&lt;2*'Información general'!$F$13,'Información general'!$F$14),0)</f>
        <v>0</v>
      </c>
      <c r="M18" s="575">
        <f>+ROUND(IF(J18&lt;2*'Información general'!$F$13,'Información general'!$F$15),0)</f>
        <v>0</v>
      </c>
      <c r="N18" s="575">
        <f>ROUND(((J18/2+L18+M18+R18/12)*'Información general'!$F$26),0)</f>
        <v>2933710</v>
      </c>
      <c r="O18" s="575">
        <f>ROUND((((J18/30)*'Información general'!$F$30)+L18+M18+N18/12+R18/12),0)</f>
        <v>3178185</v>
      </c>
      <c r="P18" s="575">
        <f t="shared" si="0"/>
        <v>6215043</v>
      </c>
      <c r="Q18" s="575">
        <f>ROUND((J18/30*2*'Información general'!$F$28),0)</f>
        <v>369601</v>
      </c>
      <c r="R18" s="575">
        <f>ROUND(IF(J18&gt;2*'Información general'!F26,J18*0.35,J18*0.5)*'Información general'!$F$31,0)</f>
        <v>1940406</v>
      </c>
      <c r="S18" s="575">
        <f>ROUND((J18+K18+L18+M18+P18/12+O18/12+N18/12+Q18/12+R18/12*'Información general'!$F$26),0)</f>
        <v>6763763</v>
      </c>
      <c r="T18" s="575">
        <f>ROUND(((J18+K18)*'Información general'!$D$45),0)</f>
        <v>471242</v>
      </c>
      <c r="U18" s="575">
        <f>ROUND(((J18+K18)*'Información general'!$D$46),0)</f>
        <v>665282</v>
      </c>
      <c r="V18" s="575">
        <f>+IF(C18=1,(J18+K18)*'Información general'!$D$47,(J18+K18)*'Información general'!$D$48)</f>
        <v>135052.27848</v>
      </c>
      <c r="W18" s="575">
        <f>+(J18+K18+N18/12+O18/12+P18/12)*'Información general'!$E$49</f>
        <v>262850.5133333333</v>
      </c>
      <c r="X18" s="575">
        <f>+(J18+K18+N18/12+O18/12+P18/12)*'Información general'!$E$50</f>
        <v>197137.88499999998</v>
      </c>
      <c r="Y18" s="578">
        <f>+(J18+K18+N18/12+O18/12+P18/12)*'Información general'!$E$51</f>
        <v>131425.25666666665</v>
      </c>
      <c r="AA18" s="212"/>
      <c r="AB18" s="213"/>
      <c r="AC18" s="214"/>
    </row>
    <row r="19" spans="1:29" s="5" customFormat="1" ht="12.75">
      <c r="A19" s="215" t="s">
        <v>675</v>
      </c>
      <c r="B19" s="216" t="s">
        <v>669</v>
      </c>
      <c r="C19" s="584"/>
      <c r="D19" s="584">
        <v>1</v>
      </c>
      <c r="E19" s="215" t="s">
        <v>646</v>
      </c>
      <c r="F19" s="216" t="s">
        <v>565</v>
      </c>
      <c r="G19" s="216" t="s">
        <v>565</v>
      </c>
      <c r="H19" s="215">
        <v>2049931.4544</v>
      </c>
      <c r="I19" s="585"/>
      <c r="J19" s="575">
        <f>ROUND((H19*'Información general'!$F$10+(H19)),0)</f>
        <v>2152428</v>
      </c>
      <c r="K19" s="575">
        <f>ROUND((I19*'Información general'!$F$10+(I19)),0)</f>
        <v>0</v>
      </c>
      <c r="L19" s="575">
        <f>+ROUND(IF(J19&lt;2*'Información general'!$F$13,'Información general'!$F$14),0)</f>
        <v>0</v>
      </c>
      <c r="M19" s="575">
        <f>+ROUND(IF(J19&lt;2*'Información general'!$F$13,'Información general'!$F$15),0)</f>
        <v>0</v>
      </c>
      <c r="N19" s="575">
        <f>ROUND(((J19/2+L19+M19+R19/12)*'Información general'!$F$26),0)</f>
        <v>1138993</v>
      </c>
      <c r="O19" s="575">
        <f>ROUND((((J19/30)*'Información general'!$F$30)+L19+M19+N19/12+R19/12),0)</f>
        <v>1233909</v>
      </c>
      <c r="P19" s="575">
        <f t="shared" si="0"/>
        <v>2412949</v>
      </c>
      <c r="Q19" s="575">
        <f>ROUND((J19/30*2*'Información general'!$F$28),0)</f>
        <v>143495</v>
      </c>
      <c r="R19" s="575">
        <f>ROUND(IF(J19&gt;2*'Información general'!F27,J19*0.35,J19*0.5)*'Información general'!$F$31,0)</f>
        <v>753350</v>
      </c>
      <c r="S19" s="575">
        <f>ROUND((J19+K19+L19+M19+P19/12+O19/12+N19/12+Q19/12+R19/12*'Información general'!$F$26),0)</f>
        <v>2625986</v>
      </c>
      <c r="T19" s="575">
        <f>ROUND(((J19+K19)*'Información general'!$D$45),0)</f>
        <v>182956</v>
      </c>
      <c r="U19" s="575">
        <f>ROUND(((J19+K19)*'Información general'!$D$46),0)</f>
        <v>258291</v>
      </c>
      <c r="V19" s="575">
        <f>+IF(C19=1,(J19+K19)*'Información general'!$D$47,(J19+K19)*'Información general'!$D$48)</f>
        <v>52433.14608</v>
      </c>
      <c r="W19" s="575">
        <f>+(J19+K19+N19/12+O19/12+P19/12)*'Información general'!$E$49</f>
        <v>102049.95666666668</v>
      </c>
      <c r="X19" s="575">
        <f>+(J19+K19+N19/12+O19/12+P19/12)*'Información general'!$E$50</f>
        <v>76537.46750000001</v>
      </c>
      <c r="Y19" s="578">
        <f>+(J19+K19+N19/12+O19/12+P19/12)*'Información general'!$E$51</f>
        <v>51024.97833333334</v>
      </c>
      <c r="AA19" s="212"/>
      <c r="AB19" s="213"/>
      <c r="AC19" s="214"/>
    </row>
    <row r="20" spans="1:29" s="5" customFormat="1" ht="12.75">
      <c r="A20" s="215" t="s">
        <v>676</v>
      </c>
      <c r="B20" s="216" t="s">
        <v>677</v>
      </c>
      <c r="C20" s="584">
        <v>1</v>
      </c>
      <c r="D20" s="584"/>
      <c r="E20" s="215" t="s">
        <v>648</v>
      </c>
      <c r="F20" s="216" t="s">
        <v>639</v>
      </c>
      <c r="G20" s="216" t="s">
        <v>564</v>
      </c>
      <c r="H20" s="215">
        <v>5280016.7664</v>
      </c>
      <c r="I20" s="585"/>
      <c r="J20" s="575">
        <f>ROUND((H20*'Información general'!$F$10+(H20)),0)</f>
        <v>5544018</v>
      </c>
      <c r="K20" s="575">
        <f>ROUND((I20*'Información general'!$F$10+(I20)),0)</f>
        <v>0</v>
      </c>
      <c r="L20" s="575">
        <f>+ROUND(IF(J20&lt;2*'Información general'!$F$13,'Información general'!$F$14),0)</f>
        <v>0</v>
      </c>
      <c r="M20" s="575">
        <f>+ROUND(IF(J20&lt;2*'Información general'!$F$13,'Información general'!$F$15),0)</f>
        <v>0</v>
      </c>
      <c r="N20" s="575">
        <f>ROUND(((J20/2+L20+M20+R20/12)*'Información general'!$F$26),0)</f>
        <v>2933710</v>
      </c>
      <c r="O20" s="575">
        <f>ROUND((((J20/30)*'Información general'!$F$30)+L20+M20+N20/12+R20/12),0)</f>
        <v>3178185</v>
      </c>
      <c r="P20" s="575">
        <f t="shared" si="0"/>
        <v>6215043</v>
      </c>
      <c r="Q20" s="575">
        <f>ROUND((J20/30*2*'Información general'!$F$28),0)</f>
        <v>369601</v>
      </c>
      <c r="R20" s="575">
        <f>ROUND(IF(J20&gt;2*'Información general'!F28,J20*0.35,J20*0.5)*'Información general'!$F$31,0)</f>
        <v>1940406</v>
      </c>
      <c r="S20" s="575">
        <f>ROUND((J20+K20+L20+M20+P20/12+O20/12+N20/12+Q20/12+R20/12*'Información general'!$F$26),0)</f>
        <v>6763763</v>
      </c>
      <c r="T20" s="575">
        <f>ROUND(((J20+K20)*'Información general'!$D$45),0)</f>
        <v>471242</v>
      </c>
      <c r="U20" s="575">
        <f>ROUND(((J20+K20)*'Información general'!$D$46),0)</f>
        <v>665282</v>
      </c>
      <c r="V20" s="575">
        <f>+IF(C20=1,(J20+K20)*'Información general'!$D$47,(J20+K20)*'Información general'!$D$48)</f>
        <v>28939.77396</v>
      </c>
      <c r="W20" s="575">
        <f>+(J20+K20+N20/12+O20/12+P20/12)*'Información general'!$E$49</f>
        <v>262850.5133333333</v>
      </c>
      <c r="X20" s="575">
        <f>+(J20+K20+N20/12+O20/12+P20/12)*'Información general'!$E$50</f>
        <v>197137.88499999998</v>
      </c>
      <c r="Y20" s="578">
        <f>+(J20+K20+N20/12+O20/12+P20/12)*'Información general'!$E$51</f>
        <v>131425.25666666665</v>
      </c>
      <c r="AA20" s="212"/>
      <c r="AB20" s="213"/>
      <c r="AC20" s="214"/>
    </row>
    <row r="21" spans="1:29" s="5" customFormat="1" ht="12.75">
      <c r="A21" s="215" t="s">
        <v>678</v>
      </c>
      <c r="B21" s="216" t="s">
        <v>679</v>
      </c>
      <c r="C21" s="584"/>
      <c r="D21" s="584">
        <v>1</v>
      </c>
      <c r="E21" s="215" t="s">
        <v>648</v>
      </c>
      <c r="F21" s="216" t="s">
        <v>639</v>
      </c>
      <c r="G21" s="216" t="s">
        <v>564</v>
      </c>
      <c r="H21" s="215">
        <v>2351434.536</v>
      </c>
      <c r="I21" s="585">
        <v>705430.3607999999</v>
      </c>
      <c r="J21" s="575">
        <f>ROUND((H21*'Información general'!$F$10+(H21)),0)</f>
        <v>2469006</v>
      </c>
      <c r="K21" s="575">
        <f>ROUND((I21*'Información general'!$F$10+(I21)),0)</f>
        <v>740702</v>
      </c>
      <c r="L21" s="575">
        <f>+ROUND(IF(J21&lt;2*'Información general'!$F$13,'Información general'!$F$14),0)</f>
        <v>0</v>
      </c>
      <c r="M21" s="575">
        <f>+ROUND(IF(J21&lt;2*'Información general'!$F$13,'Información general'!$F$15),0)</f>
        <v>0</v>
      </c>
      <c r="N21" s="575">
        <f>ROUND(((J21/2+L21+M21+R21/12)*'Información general'!$F$26),0)</f>
        <v>1306516</v>
      </c>
      <c r="O21" s="575">
        <f>ROUND((((J21/30)*'Información general'!$F$30)+L21+M21+N21/12+R21/12),0)</f>
        <v>1415392</v>
      </c>
      <c r="P21" s="575">
        <f t="shared" si="0"/>
        <v>2767844</v>
      </c>
      <c r="Q21" s="575">
        <f>ROUND((J21/30*2*'Información general'!$F$28),0)</f>
        <v>164600</v>
      </c>
      <c r="R21" s="575">
        <f>ROUND(IF(J21&gt;2*'Información general'!F29,J21*0.35,J21*0.5)*'Información general'!$F$31,0)</f>
        <v>864152</v>
      </c>
      <c r="S21" s="575">
        <f>ROUND((J21+K21+L21+M21+P21/12+O21/12+N21/12+Q21/12+R21/12*'Información general'!$F$26),0)</f>
        <v>3752917</v>
      </c>
      <c r="T21" s="575">
        <f>ROUND(((J21+K21)*'Información general'!$D$45),0)</f>
        <v>272825</v>
      </c>
      <c r="U21" s="575">
        <f>ROUND(((J21+K21)*'Información general'!$D$46),0)</f>
        <v>385165</v>
      </c>
      <c r="V21" s="575">
        <f>+IF(C21=1,(J21+K21)*'Información general'!$D$47,(J21+K21)*'Información general'!$D$48)</f>
        <v>78188.48688</v>
      </c>
      <c r="W21" s="575">
        <f>+(J21+K21+N21/12+O21/12+P21/12)*'Información general'!$E$49</f>
        <v>146687.49333333335</v>
      </c>
      <c r="X21" s="575">
        <f>+(J21+K21+N21/12+O21/12+P21/12)*'Información general'!$E$50</f>
        <v>110015.62</v>
      </c>
      <c r="Y21" s="578">
        <f>+(J21+K21+N21/12+O21/12+P21/12)*'Información general'!$E$51</f>
        <v>73343.74666666667</v>
      </c>
      <c r="AA21" s="212"/>
      <c r="AB21" s="213"/>
      <c r="AC21" s="214"/>
    </row>
    <row r="22" spans="1:29" s="5" customFormat="1" ht="12.75">
      <c r="A22" s="215" t="s">
        <v>680</v>
      </c>
      <c r="B22" s="216" t="s">
        <v>679</v>
      </c>
      <c r="C22" s="584"/>
      <c r="D22" s="584">
        <v>1</v>
      </c>
      <c r="E22" s="215" t="s">
        <v>648</v>
      </c>
      <c r="F22" s="216" t="s">
        <v>564</v>
      </c>
      <c r="G22" s="216" t="s">
        <v>564</v>
      </c>
      <c r="H22" s="215">
        <v>6441621.1488</v>
      </c>
      <c r="I22" s="585"/>
      <c r="J22" s="575">
        <f>ROUND((H22*'Información general'!$F$10+(H22)),0)</f>
        <v>6763702</v>
      </c>
      <c r="K22" s="575">
        <f>ROUND((I22*'Información general'!$F$10+(I22)),0)</f>
        <v>0</v>
      </c>
      <c r="L22" s="575">
        <f>+ROUND(IF(J22&lt;2*'Información general'!$F$13,'Información general'!$F$14),0)</f>
        <v>0</v>
      </c>
      <c r="M22" s="575">
        <f>+ROUND(IF(J22&lt;2*'Información general'!$F$13,'Información general'!$F$15),0)</f>
        <v>0</v>
      </c>
      <c r="N22" s="575">
        <f>ROUND(((J22/2+L22+M22+R22/12)*'Información general'!$F$26),0)</f>
        <v>3579126</v>
      </c>
      <c r="O22" s="575">
        <f>ROUND((((J22/30)*'Información general'!$F$30)+L22+M22+N22/12+R22/12),0)</f>
        <v>3877386</v>
      </c>
      <c r="P22" s="575">
        <f t="shared" si="0"/>
        <v>7582353</v>
      </c>
      <c r="Q22" s="575">
        <f>ROUND((J22/30*2*'Información general'!$F$28),0)</f>
        <v>450913</v>
      </c>
      <c r="R22" s="575">
        <f>ROUND(IF(J22&gt;2*'Información general'!F30,J22*0.35,J22*0.5)*'Información general'!$F$31,0)</f>
        <v>2367296</v>
      </c>
      <c r="S22" s="575">
        <f>ROUND((J22+K22+L22+M22+P22/12+O22/12+N22/12+Q22/12+R22/12*'Información general'!$F$26),0)</f>
        <v>8251792</v>
      </c>
      <c r="T22" s="575">
        <f>ROUND(((J22+K22)*'Información general'!$D$45),0)</f>
        <v>574915</v>
      </c>
      <c r="U22" s="575">
        <f>ROUND(((J22+K22)*'Información general'!$D$46),0)</f>
        <v>811644</v>
      </c>
      <c r="V22" s="575">
        <f>+IF(C22=1,(J22+K22)*'Información general'!$D$47,(J22+K22)*'Información general'!$D$48)</f>
        <v>164763.78072</v>
      </c>
      <c r="W22" s="575">
        <f>+(J22+K22+N22/12+O22/12+P22/12)*'Información general'!$E$49</f>
        <v>320677.63</v>
      </c>
      <c r="X22" s="575">
        <f>+(J22+K22+N22/12+O22/12+P22/12)*'Información general'!$E$50</f>
        <v>240508.2225</v>
      </c>
      <c r="Y22" s="578">
        <f>+(J22+K22+N22/12+O22/12+P22/12)*'Información general'!$E$51</f>
        <v>160338.815</v>
      </c>
      <c r="AA22" s="212"/>
      <c r="AB22" s="213"/>
      <c r="AC22" s="214"/>
    </row>
    <row r="23" spans="1:29" s="5" customFormat="1" ht="12.75">
      <c r="A23" s="215" t="s">
        <v>681</v>
      </c>
      <c r="B23" s="216" t="s">
        <v>682</v>
      </c>
      <c r="C23" s="584"/>
      <c r="D23" s="584">
        <v>1</v>
      </c>
      <c r="E23" s="215" t="s">
        <v>648</v>
      </c>
      <c r="F23" s="216" t="s">
        <v>639</v>
      </c>
      <c r="G23" s="216" t="s">
        <v>565</v>
      </c>
      <c r="H23" s="215">
        <v>5283443.6784</v>
      </c>
      <c r="I23" s="585"/>
      <c r="J23" s="575">
        <f>ROUND((H23*'Información general'!$F$10+(H23)),0)</f>
        <v>5547616</v>
      </c>
      <c r="K23" s="575">
        <f>ROUND((I23*'Información general'!$F$10+(I23)),0)</f>
        <v>0</v>
      </c>
      <c r="L23" s="575">
        <f>+ROUND(IF(J23&lt;2*'Información general'!$F$13,'Información general'!$F$14),0)</f>
        <v>0</v>
      </c>
      <c r="M23" s="575">
        <f>+ROUND(IF(J23&lt;2*'Información general'!$F$13,'Información general'!$F$15),0)</f>
        <v>0</v>
      </c>
      <c r="N23" s="575">
        <f>ROUND(((J23/2+L23+M23+R23/12)*'Información general'!$F$26),0)</f>
        <v>2935614</v>
      </c>
      <c r="O23" s="575">
        <f>ROUND((((J23/30)*'Información general'!$F$30)+L23+M23+N23/12+R23/12),0)</f>
        <v>3180248</v>
      </c>
      <c r="P23" s="575">
        <f t="shared" si="0"/>
        <v>6219077</v>
      </c>
      <c r="Q23" s="575">
        <f>ROUND((J23/30*2*'Información general'!$F$28),0)</f>
        <v>369841</v>
      </c>
      <c r="R23" s="575">
        <f>ROUND(IF(J23&gt;2*'Información general'!F31,J23*0.35,J23*0.5)*'Información general'!$F$31,0)</f>
        <v>1941666</v>
      </c>
      <c r="S23" s="575">
        <f>ROUND((J23+K23+L23+M23+P23/12+O23/12+N23/12+Q23/12+R23/12*'Información general'!$F$26),0)</f>
        <v>6768153</v>
      </c>
      <c r="T23" s="575">
        <f>ROUND(((J23+K23)*'Información general'!$D$45),0)</f>
        <v>471547</v>
      </c>
      <c r="U23" s="575">
        <f>ROUND(((J23+K23)*'Información general'!$D$46),0)</f>
        <v>665714</v>
      </c>
      <c r="V23" s="575">
        <f>+IF(C23=1,(J23+K23)*'Información general'!$D$47,(J23+K23)*'Información general'!$D$48)</f>
        <v>135139.92576</v>
      </c>
      <c r="W23" s="575">
        <f>+(J23+K23+N23/12+O23/12+P23/12)*'Información general'!$E$49</f>
        <v>263021.1033333334</v>
      </c>
      <c r="X23" s="575">
        <f>+(J23+K23+N23/12+O23/12+P23/12)*'Información general'!$E$50</f>
        <v>197265.8275</v>
      </c>
      <c r="Y23" s="578">
        <f>+(J23+K23+N23/12+O23/12+P23/12)*'Información general'!$E$51</f>
        <v>131510.5516666667</v>
      </c>
      <c r="AA23" s="212"/>
      <c r="AB23" s="213"/>
      <c r="AC23" s="214"/>
    </row>
    <row r="24" spans="1:29" s="5" customFormat="1" ht="12.75">
      <c r="A24" s="215" t="s">
        <v>683</v>
      </c>
      <c r="B24" s="216" t="s">
        <v>682</v>
      </c>
      <c r="C24" s="584"/>
      <c r="D24" s="584">
        <v>1</v>
      </c>
      <c r="E24" s="215" t="s">
        <v>648</v>
      </c>
      <c r="F24" s="216" t="s">
        <v>639</v>
      </c>
      <c r="G24" s="216" t="s">
        <v>564</v>
      </c>
      <c r="H24" s="215">
        <v>6441621.1488</v>
      </c>
      <c r="I24" s="585"/>
      <c r="J24" s="575">
        <f>ROUND((H24*'Información general'!$F$10+(H24)),0)</f>
        <v>6763702</v>
      </c>
      <c r="K24" s="575">
        <f>ROUND((I24*'Información general'!$F$10+(I24)),0)</f>
        <v>0</v>
      </c>
      <c r="L24" s="575">
        <f>+ROUND(IF(J24&lt;2*'Información general'!$F$13,'Información general'!$F$14),0)</f>
        <v>0</v>
      </c>
      <c r="M24" s="575">
        <f>+ROUND(IF(J24&lt;2*'Información general'!$F$13,'Información general'!$F$15),0)</f>
        <v>0</v>
      </c>
      <c r="N24" s="575">
        <f>ROUND(((J24/2+L24+M24+R24/12)*'Información general'!$F$26),0)</f>
        <v>3579126</v>
      </c>
      <c r="O24" s="575">
        <f>ROUND((((J24/30)*'Información general'!$F$30)+L24+M24+N24/12+R24/12),0)</f>
        <v>3877386</v>
      </c>
      <c r="P24" s="575">
        <f t="shared" si="0"/>
        <v>7582353</v>
      </c>
      <c r="Q24" s="575">
        <f>ROUND((J24/30*2*'Información general'!$F$28),0)</f>
        <v>450913</v>
      </c>
      <c r="R24" s="575">
        <f>ROUND(IF(J24&gt;2*'Información general'!F32,J24*0.35,J24*0.5)*'Información general'!$F$31,0)</f>
        <v>2367296</v>
      </c>
      <c r="S24" s="575">
        <f>ROUND((J24+K24+L24+M24+P24/12+O24/12+N24/12+Q24/12+R24/12*'Información general'!$F$26),0)</f>
        <v>8251792</v>
      </c>
      <c r="T24" s="575">
        <f>ROUND(((J24+K24)*'Información general'!$D$45),0)</f>
        <v>574915</v>
      </c>
      <c r="U24" s="575">
        <f>ROUND(((J24+K24)*'Información general'!$D$46),0)</f>
        <v>811644</v>
      </c>
      <c r="V24" s="575">
        <f>+IF(C24=1,(J24+K24)*'Información general'!$D$47,(J24+K24)*'Información general'!$D$48)</f>
        <v>164763.78072</v>
      </c>
      <c r="W24" s="575">
        <f>+(J24+K24+N24/12+O24/12+P24/12)*'Información general'!$E$49</f>
        <v>320677.63</v>
      </c>
      <c r="X24" s="575">
        <f>+(J24+K24+N24/12+O24/12+P24/12)*'Información general'!$E$50</f>
        <v>240508.2225</v>
      </c>
      <c r="Y24" s="578">
        <f>+(J24+K24+N24/12+O24/12+P24/12)*'Información general'!$E$51</f>
        <v>160338.815</v>
      </c>
      <c r="AA24" s="212"/>
      <c r="AB24" s="213"/>
      <c r="AC24" s="214"/>
    </row>
    <row r="25" spans="1:29" s="5" customFormat="1" ht="12.75">
      <c r="A25" s="215" t="s">
        <v>684</v>
      </c>
      <c r="B25" s="216" t="s">
        <v>682</v>
      </c>
      <c r="C25" s="584"/>
      <c r="D25" s="584">
        <v>1</v>
      </c>
      <c r="E25" s="215" t="s">
        <v>538</v>
      </c>
      <c r="F25" s="216" t="s">
        <v>639</v>
      </c>
      <c r="G25" s="216" t="s">
        <v>564</v>
      </c>
      <c r="H25" s="215">
        <v>2049931.4544</v>
      </c>
      <c r="I25" s="585"/>
      <c r="J25" s="575">
        <f>ROUND((H25*'Información general'!$F$10+(H25)),0)</f>
        <v>2152428</v>
      </c>
      <c r="K25" s="575">
        <f>ROUND((I25*'Información general'!$F$10+(I25)),0)</f>
        <v>0</v>
      </c>
      <c r="L25" s="575">
        <f>+ROUND(IF(J25&lt;2*'Información general'!$F$13,'Información general'!$F$14),0)</f>
        <v>0</v>
      </c>
      <c r="M25" s="575">
        <f>+ROUND(IF(J25&lt;2*'Información general'!$F$13,'Información general'!$F$15),0)</f>
        <v>0</v>
      </c>
      <c r="N25" s="575">
        <f>ROUND(((J25/2+L25+M25+R25/12)*'Información general'!$F$26),0)</f>
        <v>1138993</v>
      </c>
      <c r="O25" s="575">
        <f>ROUND((((J25/30)*'Información general'!$F$30)+L25+M25+N25/12+R25/12),0)</f>
        <v>1233909</v>
      </c>
      <c r="P25" s="575">
        <f t="shared" si="0"/>
        <v>2412949</v>
      </c>
      <c r="Q25" s="575">
        <f>ROUND((J25/30*2*'Información general'!$F$28),0)</f>
        <v>143495</v>
      </c>
      <c r="R25" s="575">
        <f>ROUND(IF(J25&gt;2*'Información general'!F33,J25*0.35,J25*0.5)*'Información general'!$F$31,0)</f>
        <v>753350</v>
      </c>
      <c r="S25" s="575">
        <f>ROUND((J25+K25+L25+M25+P25/12+O25/12+N25/12+Q25/12+R25/12*'Información general'!$F$26),0)</f>
        <v>2625986</v>
      </c>
      <c r="T25" s="575">
        <f>ROUND(((J25+K25)*'Información general'!$D$45),0)</f>
        <v>182956</v>
      </c>
      <c r="U25" s="575">
        <f>ROUND(((J25+K25)*'Información general'!$D$46),0)</f>
        <v>258291</v>
      </c>
      <c r="V25" s="575">
        <f>+IF(C25=1,(J25+K25)*'Información general'!$D$47,(J25+K25)*'Información general'!$D$48)</f>
        <v>52433.14608</v>
      </c>
      <c r="W25" s="575">
        <f>+(J25+K25+N25/12+O25/12+P25/12)*'Información general'!$E$49</f>
        <v>102049.95666666668</v>
      </c>
      <c r="X25" s="575">
        <f>+(J25+K25+N25/12+O25/12+P25/12)*'Información general'!$E$50</f>
        <v>76537.46750000001</v>
      </c>
      <c r="Y25" s="578">
        <f>+(J25+K25+N25/12+O25/12+P25/12)*'Información general'!$E$51</f>
        <v>51024.97833333334</v>
      </c>
      <c r="AA25" s="212"/>
      <c r="AB25" s="213"/>
      <c r="AC25" s="214"/>
    </row>
    <row r="26" spans="1:29" s="5" customFormat="1" ht="12.75">
      <c r="A26" s="215" t="s">
        <v>704</v>
      </c>
      <c r="B26" s="216" t="s">
        <v>682</v>
      </c>
      <c r="C26" s="584"/>
      <c r="D26" s="584">
        <v>1</v>
      </c>
      <c r="E26" s="215" t="s">
        <v>538</v>
      </c>
      <c r="F26" s="216" t="s">
        <v>639</v>
      </c>
      <c r="G26" s="216" t="s">
        <v>564</v>
      </c>
      <c r="H26" s="215">
        <v>3810363.48</v>
      </c>
      <c r="I26" s="585">
        <v>1159928.1120000002</v>
      </c>
      <c r="J26" s="575">
        <f>ROUND((H26*'Información general'!$F$10+(H26)),0)</f>
        <v>4000882</v>
      </c>
      <c r="K26" s="575">
        <f>ROUND((I26*'Información general'!$F$10+(I26)),0)</f>
        <v>1217925</v>
      </c>
      <c r="L26" s="575">
        <f>+ROUND(IF(J26&lt;2*'Información general'!$F$13,'Información general'!$F$14),0)</f>
        <v>0</v>
      </c>
      <c r="M26" s="575">
        <f>+ROUND(IF(J26&lt;2*'Información general'!$F$13,'Información general'!$F$15),0)</f>
        <v>0</v>
      </c>
      <c r="N26" s="575">
        <f>ROUND(((J26/2+L26+M26+R26/12)*'Información general'!$F$26),0)</f>
        <v>2117133</v>
      </c>
      <c r="O26" s="575">
        <f>ROUND((((J26/30)*'Información general'!$F$30)+L26+M26+N26/12+R26/12),0)</f>
        <v>2293561</v>
      </c>
      <c r="P26" s="575">
        <f t="shared" si="0"/>
        <v>4485132</v>
      </c>
      <c r="Q26" s="575">
        <f>ROUND((J26/30*2*'Información general'!$F$28),0)</f>
        <v>266725</v>
      </c>
      <c r="R26" s="575">
        <f>ROUND(IF(J26&gt;2*'Información general'!F34,J26*0.35,J26*0.5)*'Información general'!$F$31,0)</f>
        <v>1400309</v>
      </c>
      <c r="S26" s="575">
        <f>ROUND((J26+K26+L26+M26+P26/12+O26/12+N26/12+Q26/12+R26/12*'Información general'!$F$26),0)</f>
        <v>6099045</v>
      </c>
      <c r="T26" s="575">
        <f>ROUND(((J26+K26)*'Información general'!$D$45),0)</f>
        <v>443599</v>
      </c>
      <c r="U26" s="575">
        <f>ROUND(((J26+K26)*'Información general'!$D$46),0)</f>
        <v>626257</v>
      </c>
      <c r="V26" s="575">
        <f>+IF(C26=1,(J26+K26)*'Información general'!$D$47,(J26+K26)*'Información general'!$D$48)</f>
        <v>127130.13852</v>
      </c>
      <c r="W26" s="575">
        <f>+(J26+K26+N26/12+O26/12+P26/12)*'Información general'!$E$49</f>
        <v>238405.03333333333</v>
      </c>
      <c r="X26" s="575">
        <f>+(J26+K26+N26/12+O26/12+P26/12)*'Información general'!$E$50</f>
        <v>178803.775</v>
      </c>
      <c r="Y26" s="578">
        <f>+(J26+K26+N26/12+O26/12+P26/12)*'Información general'!$E$51</f>
        <v>119202.51666666666</v>
      </c>
      <c r="AA26" s="212"/>
      <c r="AB26" s="213"/>
      <c r="AC26" s="214"/>
    </row>
    <row r="27" spans="1:29" s="5" customFormat="1" ht="12.75">
      <c r="A27" s="215" t="s">
        <v>685</v>
      </c>
      <c r="B27" s="216" t="s">
        <v>686</v>
      </c>
      <c r="C27" s="584"/>
      <c r="D27" s="584">
        <v>1</v>
      </c>
      <c r="E27" s="215" t="s">
        <v>642</v>
      </c>
      <c r="F27" s="216" t="s">
        <v>639</v>
      </c>
      <c r="G27" s="216" t="s">
        <v>565</v>
      </c>
      <c r="H27" s="215">
        <v>6441621.1488</v>
      </c>
      <c r="I27" s="585"/>
      <c r="J27" s="575">
        <f>ROUND((H27*'Información general'!$F$10+(H27)),0)</f>
        <v>6763702</v>
      </c>
      <c r="K27" s="575">
        <f>ROUND((I27*'Información general'!$F$10+(I27)),0)</f>
        <v>0</v>
      </c>
      <c r="L27" s="575">
        <f>+ROUND(IF(J27&lt;2*'Información general'!$F$13,'Información general'!$F$14),0)</f>
        <v>0</v>
      </c>
      <c r="M27" s="575">
        <f>+ROUND(IF(J27&lt;2*'Información general'!$F$13,'Información general'!$F$15),0)</f>
        <v>0</v>
      </c>
      <c r="N27" s="575">
        <f>ROUND(((J27/2+L27+M27+R27/12)*'Información general'!$F$26),0)</f>
        <v>3579126</v>
      </c>
      <c r="O27" s="575">
        <f>ROUND((((J27/30)*'Información general'!$F$30)+L27+M27+N27/12+R27/12),0)</f>
        <v>3877386</v>
      </c>
      <c r="P27" s="575">
        <f t="shared" si="0"/>
        <v>7582353</v>
      </c>
      <c r="Q27" s="575">
        <f>ROUND((J27/30*2*'Información general'!$F$28),0)</f>
        <v>450913</v>
      </c>
      <c r="R27" s="575">
        <f>ROUND(IF(J27&gt;2*'Información general'!F35,J27*0.35,J27*0.5)*'Información general'!$F$31,0)</f>
        <v>2367296</v>
      </c>
      <c r="S27" s="575">
        <f>ROUND((J27+K27+L27+M27+P27/12+O27/12+N27/12+Q27/12+R27/12*'Información general'!$F$26),0)</f>
        <v>8251792</v>
      </c>
      <c r="T27" s="575">
        <f>ROUND(((J27+K27)*'Información general'!$D$45),0)</f>
        <v>574915</v>
      </c>
      <c r="U27" s="575">
        <f>ROUND(((J27+K27)*'Información general'!$D$46),0)</f>
        <v>811644</v>
      </c>
      <c r="V27" s="575">
        <f>+IF(C27=1,(J27+K27)*'Información general'!$D$47,(J27+K27)*'Información general'!$D$48)</f>
        <v>164763.78072</v>
      </c>
      <c r="W27" s="575">
        <f>+(J27+K27+N27/12+O27/12+P27/12)*'Información general'!$E$49</f>
        <v>320677.63</v>
      </c>
      <c r="X27" s="575">
        <f>+(J27+K27+N27/12+O27/12+P27/12)*'Información general'!$E$50</f>
        <v>240508.2225</v>
      </c>
      <c r="Y27" s="578">
        <f>+(J27+K27+N27/12+O27/12+P27/12)*'Información general'!$E$51</f>
        <v>160338.815</v>
      </c>
      <c r="AA27" s="212"/>
      <c r="AB27" s="213"/>
      <c r="AC27" s="214"/>
    </row>
    <row r="28" spans="1:29" s="5" customFormat="1" ht="12.75">
      <c r="A28" s="215" t="s">
        <v>687</v>
      </c>
      <c r="B28" s="216" t="s">
        <v>686</v>
      </c>
      <c r="C28" s="584"/>
      <c r="D28" s="584">
        <v>1</v>
      </c>
      <c r="E28" s="215" t="s">
        <v>648</v>
      </c>
      <c r="F28" s="216" t="s">
        <v>565</v>
      </c>
      <c r="G28" s="216" t="s">
        <v>565</v>
      </c>
      <c r="H28" s="215">
        <v>5280016.7664</v>
      </c>
      <c r="I28" s="585"/>
      <c r="J28" s="575">
        <f>ROUND((H28*'Información general'!$F$10+(H28)),0)</f>
        <v>5544018</v>
      </c>
      <c r="K28" s="575">
        <f>ROUND((I28*'Información general'!$F$10+(I28)),0)</f>
        <v>0</v>
      </c>
      <c r="L28" s="575">
        <f>+ROUND(IF(J28&lt;2*'Información general'!$F$13,'Información general'!$F$14),0)</f>
        <v>0</v>
      </c>
      <c r="M28" s="575">
        <f>+ROUND(IF(J28&lt;2*'Información general'!$F$13,'Información general'!$F$15),0)</f>
        <v>0</v>
      </c>
      <c r="N28" s="575">
        <f>ROUND(((J28/2+L28+M28+R28/12)*'Información general'!$F$26),0)</f>
        <v>2933710</v>
      </c>
      <c r="O28" s="575">
        <f>ROUND((((J28/30)*'Información general'!$F$30)+L28+M28+N28/12+R28/12),0)</f>
        <v>3178185</v>
      </c>
      <c r="P28" s="575">
        <f t="shared" si="0"/>
        <v>6215043</v>
      </c>
      <c r="Q28" s="575">
        <f>ROUND((J28/30*2*'Información general'!$F$28),0)</f>
        <v>369601</v>
      </c>
      <c r="R28" s="575">
        <f>ROUND(IF(J28&gt;2*'Información general'!F36,J28*0.35,J28*0.5)*'Información general'!$F$31,0)</f>
        <v>1940406</v>
      </c>
      <c r="S28" s="575">
        <f>ROUND((J28+K28+L28+M28+P28/12+O28/12+N28/12+Q28/12+R28/12*'Información general'!$F$26),0)</f>
        <v>6763763</v>
      </c>
      <c r="T28" s="575">
        <f>ROUND(((J28+K28)*'Información general'!$D$45),0)</f>
        <v>471242</v>
      </c>
      <c r="U28" s="575">
        <f>ROUND(((J28+K28)*'Información general'!$D$46),0)</f>
        <v>665282</v>
      </c>
      <c r="V28" s="575">
        <f>+IF(C28=1,(J28+K28)*'Información general'!$D$47,(J28+K28)*'Información general'!$D$48)</f>
        <v>135052.27848</v>
      </c>
      <c r="W28" s="575">
        <f>+(J28+K28+N28/12+O28/12+P28/12)*'Información general'!$E$49</f>
        <v>262850.5133333333</v>
      </c>
      <c r="X28" s="575">
        <f>+(J28+K28+N28/12+O28/12+P28/12)*'Información general'!$E$50</f>
        <v>197137.88499999998</v>
      </c>
      <c r="Y28" s="578">
        <f>+(J28+K28+N28/12+O28/12+P28/12)*'Información general'!$E$51</f>
        <v>131425.25666666665</v>
      </c>
      <c r="AA28" s="212"/>
      <c r="AB28" s="213"/>
      <c r="AC28" s="214"/>
    </row>
    <row r="29" spans="1:29" s="5" customFormat="1" ht="12.75">
      <c r="A29" s="215" t="s">
        <v>688</v>
      </c>
      <c r="B29" s="216" t="s">
        <v>686</v>
      </c>
      <c r="C29" s="584"/>
      <c r="D29" s="584">
        <v>1</v>
      </c>
      <c r="E29" s="215" t="s">
        <v>648</v>
      </c>
      <c r="F29" s="216" t="s">
        <v>639</v>
      </c>
      <c r="G29" s="216" t="s">
        <v>564</v>
      </c>
      <c r="H29" s="215">
        <v>3810363.48</v>
      </c>
      <c r="I29" s="585">
        <v>1159928.1120000002</v>
      </c>
      <c r="J29" s="575">
        <f>ROUND((H29*'Información general'!$F$10+(H29)),0)</f>
        <v>4000882</v>
      </c>
      <c r="K29" s="575">
        <f>ROUND((I29*'Información general'!$F$10+(I29)),0)</f>
        <v>1217925</v>
      </c>
      <c r="L29" s="575">
        <f>+ROUND(IF(J29&lt;2*'Información general'!$F$13,'Información general'!$F$14),0)</f>
        <v>0</v>
      </c>
      <c r="M29" s="575">
        <f>+ROUND(IF(J29&lt;2*'Información general'!$F$13,'Información general'!$F$15),0)</f>
        <v>0</v>
      </c>
      <c r="N29" s="575">
        <f>ROUND(((J29/2+L29+M29+R29/12)*'Información general'!$F$26),0)</f>
        <v>2117133</v>
      </c>
      <c r="O29" s="575">
        <f>ROUND((((J29/30)*'Información general'!$F$30)+L29+M29+N29/12+R29/12),0)</f>
        <v>2293561</v>
      </c>
      <c r="P29" s="575">
        <f t="shared" si="0"/>
        <v>4485132</v>
      </c>
      <c r="Q29" s="575">
        <f>ROUND((J29/30*2*'Información general'!$F$28),0)</f>
        <v>266725</v>
      </c>
      <c r="R29" s="575">
        <f>ROUND(IF(J29&gt;2*'Información general'!F37,J29*0.35,J29*0.5)*'Información general'!$F$31,0)</f>
        <v>1400309</v>
      </c>
      <c r="S29" s="575">
        <f>ROUND((J29+K29+L29+M29+P29/12+O29/12+N29/12+Q29/12+R29/12*'Información general'!$F$26),0)</f>
        <v>6099045</v>
      </c>
      <c r="T29" s="575">
        <f>ROUND(((J29+K29)*'Información general'!$D$45),0)</f>
        <v>443599</v>
      </c>
      <c r="U29" s="575">
        <f>ROUND(((J29+K29)*'Información general'!$D$46),0)</f>
        <v>626257</v>
      </c>
      <c r="V29" s="575">
        <f>+IF(C29=1,(J29+K29)*'Información general'!$D$47,(J29+K29)*'Información general'!$D$48)</f>
        <v>127130.13852</v>
      </c>
      <c r="W29" s="575">
        <f>+(J29+K29+N29/12+O29/12+P29/12)*'Información general'!$E$49</f>
        <v>238405.03333333333</v>
      </c>
      <c r="X29" s="575">
        <f>+(J29+K29+N29/12+O29/12+P29/12)*'Información general'!$E$50</f>
        <v>178803.775</v>
      </c>
      <c r="Y29" s="578">
        <f>+(J29+K29+N29/12+O29/12+P29/12)*'Información general'!$E$51</f>
        <v>119202.51666666666</v>
      </c>
      <c r="AA29" s="212"/>
      <c r="AB29" s="213"/>
      <c r="AC29" s="214"/>
    </row>
    <row r="30" spans="1:29" s="5" customFormat="1" ht="12.75">
      <c r="A30" s="215" t="s">
        <v>689</v>
      </c>
      <c r="B30" s="216" t="s">
        <v>686</v>
      </c>
      <c r="C30" s="584"/>
      <c r="D30" s="584">
        <v>1</v>
      </c>
      <c r="E30" s="215" t="s">
        <v>538</v>
      </c>
      <c r="F30" s="216" t="s">
        <v>639</v>
      </c>
      <c r="G30" s="216" t="s">
        <v>564</v>
      </c>
      <c r="H30" s="215">
        <v>2351434.536</v>
      </c>
      <c r="I30" s="585">
        <v>705430.3607999999</v>
      </c>
      <c r="J30" s="575">
        <f>ROUND((H30*'Información general'!$F$10+(H30)),0)</f>
        <v>2469006</v>
      </c>
      <c r="K30" s="575">
        <f>ROUND((I30*'Información general'!$F$10+(I30)),0)</f>
        <v>740702</v>
      </c>
      <c r="L30" s="575">
        <f>+ROUND(IF(J30&lt;2*'Información general'!$F$13,'Información general'!$F$14),0)</f>
        <v>0</v>
      </c>
      <c r="M30" s="575">
        <f>+ROUND(IF(J30&lt;2*'Información general'!$F$13,'Información general'!$F$15),0)</f>
        <v>0</v>
      </c>
      <c r="N30" s="575">
        <f>ROUND(((J30/2+L30+M30+R30/12)*'Información general'!$F$26),0)</f>
        <v>1306516</v>
      </c>
      <c r="O30" s="575">
        <f>ROUND((((J30/30)*'Información general'!$F$30)+L30+M30+N30/12+R30/12),0)</f>
        <v>1415392</v>
      </c>
      <c r="P30" s="575">
        <f t="shared" si="0"/>
        <v>2767844</v>
      </c>
      <c r="Q30" s="575">
        <f>ROUND((J30/30*2*'Información general'!$F$28),0)</f>
        <v>164600</v>
      </c>
      <c r="R30" s="575">
        <f>ROUND(IF(J30&gt;2*'Información general'!F38,J30*0.35,J30*0.5)*'Información general'!$F$31,0)</f>
        <v>864152</v>
      </c>
      <c r="S30" s="575">
        <f>ROUND((J30+K30+L30+M30+P30/12+O30/12+N30/12+Q30/12+R30/12*'Información general'!$F$26),0)</f>
        <v>3752917</v>
      </c>
      <c r="T30" s="575">
        <f>ROUND(((J30+K30)*'Información general'!$D$45),0)</f>
        <v>272825</v>
      </c>
      <c r="U30" s="575">
        <f>ROUND(((J30+K30)*'Información general'!$D$46),0)</f>
        <v>385165</v>
      </c>
      <c r="V30" s="575">
        <f>+IF(C30=1,(J30+K30)*'Información general'!$D$47,(J30+K30)*'Información general'!$D$48)</f>
        <v>78188.48688</v>
      </c>
      <c r="W30" s="575">
        <f>+(J30+K30+N30/12+O30/12+P30/12)*'Información general'!$E$49</f>
        <v>146687.49333333335</v>
      </c>
      <c r="X30" s="575">
        <f>+(J30+K30+N30/12+O30/12+P30/12)*'Información general'!$E$50</f>
        <v>110015.62</v>
      </c>
      <c r="Y30" s="578">
        <f>+(J30+K30+N30/12+O30/12+P30/12)*'Información general'!$E$51</f>
        <v>73343.74666666667</v>
      </c>
      <c r="AA30" s="212"/>
      <c r="AB30" s="213"/>
      <c r="AC30" s="214"/>
    </row>
    <row r="31" spans="1:29" s="5" customFormat="1" ht="12.75">
      <c r="A31" s="215" t="s">
        <v>690</v>
      </c>
      <c r="B31" s="216" t="s">
        <v>686</v>
      </c>
      <c r="C31" s="584"/>
      <c r="D31" s="584">
        <v>1</v>
      </c>
      <c r="E31" s="215" t="s">
        <v>646</v>
      </c>
      <c r="F31" s="216" t="s">
        <v>639</v>
      </c>
      <c r="G31" s="216" t="s">
        <v>564</v>
      </c>
      <c r="H31" s="215">
        <v>2049931.4544</v>
      </c>
      <c r="I31" s="585">
        <v>409986.29088</v>
      </c>
      <c r="J31" s="575">
        <f>ROUND((H31*'Información general'!$F$10+(H31)),0)</f>
        <v>2152428</v>
      </c>
      <c r="K31" s="575">
        <f>ROUND((I31*'Información general'!$F$10+(I31)),0)</f>
        <v>430486</v>
      </c>
      <c r="L31" s="575">
        <f>+ROUND(IF(J31&lt;2*'Información general'!$F$13,'Información general'!$F$14),0)</f>
        <v>0</v>
      </c>
      <c r="M31" s="575">
        <f>+ROUND(IF(J31&lt;2*'Información general'!$F$13,'Información general'!$F$15),0)</f>
        <v>0</v>
      </c>
      <c r="N31" s="575">
        <f>ROUND(((J31/2+L31+M31+R31/12)*'Información general'!$F$26),0)</f>
        <v>1138993</v>
      </c>
      <c r="O31" s="575">
        <f>ROUND((((J31/30)*'Información general'!$F$30)+L31+M31+N31/12+R31/12),0)</f>
        <v>1233909</v>
      </c>
      <c r="P31" s="575">
        <f t="shared" si="0"/>
        <v>2412949</v>
      </c>
      <c r="Q31" s="575">
        <f>ROUND((J31/30*2*'Información general'!$F$28),0)</f>
        <v>143495</v>
      </c>
      <c r="R31" s="575">
        <f>ROUND(IF(J31&gt;2*'Información general'!F39,J31*0.35,J31*0.5)*'Información general'!$F$31,0)</f>
        <v>753350</v>
      </c>
      <c r="S31" s="575">
        <f>ROUND((J31+K31+L31+M31+P31/12+O31/12+N31/12+Q31/12+R31/12*'Información general'!$F$26),0)</f>
        <v>3056472</v>
      </c>
      <c r="T31" s="575">
        <f>ROUND(((J31+K31)*'Información general'!$D$45),0)</f>
        <v>219548</v>
      </c>
      <c r="U31" s="575">
        <f>ROUND(((J31+K31)*'Información general'!$D$46),0)</f>
        <v>309950</v>
      </c>
      <c r="V31" s="575">
        <f>+IF(C31=1,(J31+K31)*'Información general'!$D$47,(J31+K31)*'Información general'!$D$48)</f>
        <v>62919.78504</v>
      </c>
      <c r="W31" s="575">
        <f>+(J31+K31+N31/12+O31/12+P31/12)*'Información general'!$E$49</f>
        <v>119269.39666666668</v>
      </c>
      <c r="X31" s="575">
        <f>+(J31+K31+N31/12+O31/12+P31/12)*'Información general'!$E$50</f>
        <v>89452.0475</v>
      </c>
      <c r="Y31" s="578">
        <f>+(J31+K31+N31/12+O31/12+P31/12)*'Información general'!$E$51</f>
        <v>59634.69833333334</v>
      </c>
      <c r="AA31" s="212"/>
      <c r="AB31" s="213"/>
      <c r="AC31" s="214"/>
    </row>
    <row r="32" spans="1:29" s="5" customFormat="1" ht="12.75">
      <c r="A32" s="215" t="s">
        <v>691</v>
      </c>
      <c r="B32" s="216" t="s">
        <v>692</v>
      </c>
      <c r="C32" s="584"/>
      <c r="D32" s="584">
        <v>1</v>
      </c>
      <c r="E32" s="215" t="s">
        <v>646</v>
      </c>
      <c r="F32" s="216" t="s">
        <v>639</v>
      </c>
      <c r="G32" s="216" t="s">
        <v>564</v>
      </c>
      <c r="H32" s="215">
        <v>3140721.7488</v>
      </c>
      <c r="I32" s="585"/>
      <c r="J32" s="575">
        <f>ROUND((H32*'Información general'!$F$10+(H32)),0)</f>
        <v>3297758</v>
      </c>
      <c r="K32" s="575">
        <f>ROUND((I32*'Información general'!$F$10+(I32)),0)</f>
        <v>0</v>
      </c>
      <c r="L32" s="575">
        <f>+ROUND(IF(J32&lt;2*'Información general'!$F$13,'Información general'!$F$14),0)</f>
        <v>0</v>
      </c>
      <c r="M32" s="575">
        <f>+ROUND(IF(J32&lt;2*'Información general'!$F$13,'Información general'!$F$15),0)</f>
        <v>0</v>
      </c>
      <c r="N32" s="575">
        <f>ROUND(((J32/2+L32+M32+R32/12)*'Información general'!$F$26),0)</f>
        <v>1745064</v>
      </c>
      <c r="O32" s="575">
        <f>ROUND((((J32/30)*'Información general'!$F$30)+L32+M32+N32/12+R32/12),0)</f>
        <v>1890486</v>
      </c>
      <c r="P32" s="575">
        <f t="shared" si="0"/>
        <v>3696905</v>
      </c>
      <c r="Q32" s="575">
        <f>ROUND((J32/30*2*'Información general'!$F$28),0)</f>
        <v>219851</v>
      </c>
      <c r="R32" s="575">
        <f>ROUND(IF(J32&gt;2*'Información general'!F40,J32*0.35,J32*0.5)*'Información general'!$F$31,0)</f>
        <v>1154215</v>
      </c>
      <c r="S32" s="575">
        <f>ROUND((J32+K32+L32+M32+P32/12+O32/12+N32/12+Q32/12+R32/12*'Información general'!$F$26),0)</f>
        <v>4023301</v>
      </c>
      <c r="T32" s="575">
        <f>ROUND(((J32+K32)*'Información general'!$D$45),0)</f>
        <v>280309</v>
      </c>
      <c r="U32" s="575">
        <f>ROUND(((J32+K32)*'Información general'!$D$46),0)</f>
        <v>395731</v>
      </c>
      <c r="V32" s="575">
        <f>+IF(C32=1,(J32+K32)*'Información general'!$D$47,(J32+K32)*'Información general'!$D$48)</f>
        <v>80333.38488</v>
      </c>
      <c r="W32" s="575">
        <f>+(J32+K32+N32/12+O32/12+P32/12)*'Información general'!$E$49</f>
        <v>156351.83666666667</v>
      </c>
      <c r="X32" s="575">
        <f>+(J32+K32+N32/12+O32/12+P32/12)*'Información general'!$E$50</f>
        <v>117263.87749999999</v>
      </c>
      <c r="Y32" s="578">
        <f>+(J32+K32+N32/12+O32/12+P32/12)*'Información general'!$E$51</f>
        <v>78175.91833333333</v>
      </c>
      <c r="AA32" s="212"/>
      <c r="AB32" s="213"/>
      <c r="AC32" s="214"/>
    </row>
    <row r="33" spans="1:29" s="5" customFormat="1" ht="12.75">
      <c r="A33" s="586" t="s">
        <v>703</v>
      </c>
      <c r="B33" s="216" t="s">
        <v>692</v>
      </c>
      <c r="C33" s="584"/>
      <c r="D33" s="584">
        <v>1</v>
      </c>
      <c r="E33" s="215" t="s">
        <v>648</v>
      </c>
      <c r="F33" s="216" t="s">
        <v>639</v>
      </c>
      <c r="G33" s="216" t="s">
        <v>564</v>
      </c>
      <c r="H33" s="215">
        <v>2966137.4016</v>
      </c>
      <c r="I33" s="585"/>
      <c r="J33" s="575">
        <f>ROUND((H33*'Información general'!$F$10+(H33)),0)</f>
        <v>3114444</v>
      </c>
      <c r="K33" s="575">
        <f>ROUND((I33*'Información general'!$F$10+(I33)),0)</f>
        <v>0</v>
      </c>
      <c r="L33" s="575">
        <f>+ROUND(IF(J33&lt;2*'Información general'!$F$13,'Información general'!$F$14),0)</f>
        <v>0</v>
      </c>
      <c r="M33" s="575">
        <f>+ROUND(IF(J33&lt;2*'Información general'!$F$13,'Información general'!$F$15),0)</f>
        <v>0</v>
      </c>
      <c r="N33" s="575">
        <f>ROUND(((J33/2+L33+M33+R33/12)*'Información general'!$F$26),0)</f>
        <v>1648060</v>
      </c>
      <c r="O33" s="575">
        <f>ROUND((((J33/30)*'Información general'!$F$30)+L33+M33+N33/12+R33/12),0)</f>
        <v>1785398</v>
      </c>
      <c r="P33" s="575">
        <f t="shared" si="0"/>
        <v>3491403</v>
      </c>
      <c r="Q33" s="575">
        <f>ROUND((J33/30*2*'Información general'!$F$28),0)</f>
        <v>207630</v>
      </c>
      <c r="R33" s="575">
        <f>ROUND(IF(J33&gt;2*'Información general'!F41,J33*0.35,J33*0.5)*'Información general'!$F$31,0)</f>
        <v>1090055</v>
      </c>
      <c r="S33" s="575">
        <f>ROUND((J33+K33+L33+M33+P33/12+O33/12+N33/12+Q33/12+R33/12*'Información general'!$F$26),0)</f>
        <v>3799656</v>
      </c>
      <c r="T33" s="575">
        <f>ROUND(((J33+K33)*'Información general'!$D$45),0)</f>
        <v>264728</v>
      </c>
      <c r="U33" s="575">
        <f>ROUND(((J33+K33)*'Información general'!$D$46),0)</f>
        <v>373733</v>
      </c>
      <c r="V33" s="575">
        <f>+IF(C33=1,(J33+K33)*'Información general'!$D$47,(J33+K33)*'Información general'!$D$48)</f>
        <v>75867.85584</v>
      </c>
      <c r="W33" s="575">
        <f>+(J33+K33+N33/12+O33/12+P33/12)*'Información general'!$E$49</f>
        <v>147660.63</v>
      </c>
      <c r="X33" s="575">
        <f>+(J33+K33+N33/12+O33/12+P33/12)*'Información general'!$E$50</f>
        <v>110745.47249999999</v>
      </c>
      <c r="Y33" s="578">
        <f>+(J33+K33+N33/12+O33/12+P33/12)*'Información general'!$E$51</f>
        <v>73830.315</v>
      </c>
      <c r="AA33" s="212"/>
      <c r="AB33" s="213"/>
      <c r="AC33" s="214"/>
    </row>
    <row r="34" spans="1:29" s="5" customFormat="1" ht="12.75">
      <c r="A34" s="215" t="s">
        <v>693</v>
      </c>
      <c r="B34" s="216" t="s">
        <v>692</v>
      </c>
      <c r="C34" s="584"/>
      <c r="D34" s="584">
        <v>1</v>
      </c>
      <c r="E34" s="215" t="s">
        <v>648</v>
      </c>
      <c r="F34" s="216" t="s">
        <v>639</v>
      </c>
      <c r="G34" s="216" t="s">
        <v>564</v>
      </c>
      <c r="H34" s="216">
        <v>2741411.8656</v>
      </c>
      <c r="I34" s="216"/>
      <c r="J34" s="575">
        <f>ROUND((H34*'Información general'!$F$10+(H34)),0)</f>
        <v>2878482</v>
      </c>
      <c r="K34" s="575">
        <f>ROUND((I34*'Información general'!$F$10+(I34)),0)</f>
        <v>0</v>
      </c>
      <c r="L34" s="575">
        <f>+ROUND(IF(J34&lt;2*'Información general'!$F$13,'Información general'!$F$14),0)</f>
        <v>0</v>
      </c>
      <c r="M34" s="575">
        <f>+ROUND(IF(J34&lt;2*'Información general'!$F$13,'Información general'!$F$15),0)</f>
        <v>0</v>
      </c>
      <c r="N34" s="575">
        <f>ROUND(((J34/2+L34+M34+R34/12)*'Información general'!$F$26),0)</f>
        <v>1523197</v>
      </c>
      <c r="O34" s="575">
        <f>ROUND((((J34/30)*'Información general'!$F$30)+L34+M34+N34/12+R34/12),0)</f>
        <v>1650130</v>
      </c>
      <c r="P34" s="575">
        <f t="shared" si="0"/>
        <v>3226882</v>
      </c>
      <c r="Q34" s="575">
        <f>ROUND((J34/30*2*'Información general'!$F$28),0)</f>
        <v>191899</v>
      </c>
      <c r="R34" s="575">
        <f>ROUND(IF(J34&gt;2*'Información general'!F42,J34*0.35,J34*0.5)*'Información general'!$F$31,0)</f>
        <v>1007469</v>
      </c>
      <c r="S34" s="575">
        <f>ROUND((J34+K34+L34+M34+P34/12+O34/12+N34/12+Q34/12+R34/12*'Información general'!$F$26),0)</f>
        <v>3511780</v>
      </c>
      <c r="T34" s="575">
        <f>ROUND(((J34+K34)*'Información general'!$D$45),0)</f>
        <v>244671</v>
      </c>
      <c r="U34" s="575">
        <f>ROUND(((J34+K34)*'Información general'!$D$46),0)</f>
        <v>345418</v>
      </c>
      <c r="V34" s="575">
        <f>+IF(C34=1,(J34+K34)*'Información general'!$D$47,(J34+K34)*'Información general'!$D$48)</f>
        <v>70119.82152</v>
      </c>
      <c r="W34" s="575">
        <f>+(J34+K34+N34/12+O34/12+P34/12)*'Información general'!$E$49</f>
        <v>136473.31000000003</v>
      </c>
      <c r="X34" s="575">
        <f>+(J34+K34+N34/12+O34/12+P34/12)*'Información general'!$E$50</f>
        <v>102354.98250000001</v>
      </c>
      <c r="Y34" s="578">
        <f>+(J34+K34+N34/12+O34/12+P34/12)*'Información general'!$E$51</f>
        <v>68236.65500000001</v>
      </c>
      <c r="AA34" s="212"/>
      <c r="AB34" s="213"/>
      <c r="AC34" s="214"/>
    </row>
    <row r="35" spans="1:29" s="5" customFormat="1" ht="12.75">
      <c r="A35" s="215" t="s">
        <v>694</v>
      </c>
      <c r="B35" s="216" t="s">
        <v>692</v>
      </c>
      <c r="C35" s="584"/>
      <c r="D35" s="584">
        <v>1</v>
      </c>
      <c r="E35" s="215" t="s">
        <v>648</v>
      </c>
      <c r="F35" s="216" t="s">
        <v>639</v>
      </c>
      <c r="G35" s="216" t="s">
        <v>644</v>
      </c>
      <c r="H35" s="216">
        <v>2741411.8656</v>
      </c>
      <c r="I35" s="216">
        <v>822423.5596800001</v>
      </c>
      <c r="J35" s="575">
        <f>ROUND((H35*'Información general'!$F$10+(H35)),0)</f>
        <v>2878482</v>
      </c>
      <c r="K35" s="575">
        <f>ROUND((I35*'Información general'!$F$10+(I35)),0)</f>
        <v>863545</v>
      </c>
      <c r="L35" s="575">
        <f>+ROUND(IF(J35&lt;2*'Información general'!$F$13,'Información general'!$F$14),0)</f>
        <v>0</v>
      </c>
      <c r="M35" s="575">
        <f>+ROUND(IF(J35&lt;2*'Información general'!$F$13,'Información general'!$F$15),0)</f>
        <v>0</v>
      </c>
      <c r="N35" s="575">
        <f>ROUND(((J35/2+L35+M35+R35/12)*'Información general'!$F$26),0)</f>
        <v>1523197</v>
      </c>
      <c r="O35" s="575">
        <f>ROUND((((J35/30)*'Información general'!$F$30)+L35+M35+N35/12+R35/12),0)</f>
        <v>1650130</v>
      </c>
      <c r="P35" s="575">
        <f t="shared" si="0"/>
        <v>3226882</v>
      </c>
      <c r="Q35" s="575">
        <f>ROUND((J35/30*2*'Información general'!$F$28),0)</f>
        <v>191899</v>
      </c>
      <c r="R35" s="575">
        <f>ROUND(IF(J35&gt;2*'Información general'!F43,J35*0.35,J35*0.5)*'Información general'!$F$31,0)</f>
        <v>1007469</v>
      </c>
      <c r="S35" s="575">
        <f>ROUND((J35+K35+L35+M35+P35/12+O35/12+N35/12+Q35/12+R35/12*'Información general'!$F$26),0)</f>
        <v>4375325</v>
      </c>
      <c r="T35" s="575">
        <f>ROUND(((J35+K35)*'Información general'!$D$45),0)</f>
        <v>318072</v>
      </c>
      <c r="U35" s="575">
        <f>ROUND(((J35+K35)*'Información general'!$D$46),0)</f>
        <v>449043</v>
      </c>
      <c r="V35" s="575">
        <f>+IF(C35=1,(J35+K35)*'Información general'!$D$47,(J35+K35)*'Información general'!$D$48)</f>
        <v>91155.77772</v>
      </c>
      <c r="W35" s="575">
        <f>+(J35+K35+N35/12+O35/12+P35/12)*'Información general'!$E$49</f>
        <v>171015.11000000002</v>
      </c>
      <c r="X35" s="575">
        <f>+(J35+K35+N35/12+O35/12+P35/12)*'Información general'!$E$50</f>
        <v>128261.33249999999</v>
      </c>
      <c r="Y35" s="578">
        <f>+(J35+K35+N35/12+O35/12+P35/12)*'Información general'!$E$51</f>
        <v>85507.55500000001</v>
      </c>
      <c r="AA35" s="212"/>
      <c r="AB35" s="213"/>
      <c r="AC35" s="214"/>
    </row>
    <row r="36" spans="1:33" s="5" customFormat="1" ht="12.75">
      <c r="A36" s="215" t="s">
        <v>695</v>
      </c>
      <c r="B36" s="216" t="s">
        <v>692</v>
      </c>
      <c r="C36" s="584"/>
      <c r="D36" s="584">
        <v>1</v>
      </c>
      <c r="E36" s="215" t="s">
        <v>648</v>
      </c>
      <c r="F36" s="216" t="s">
        <v>639</v>
      </c>
      <c r="G36" s="216" t="s">
        <v>565</v>
      </c>
      <c r="H36" s="216">
        <v>1637567.7696</v>
      </c>
      <c r="I36" s="216"/>
      <c r="J36" s="575">
        <f>ROUND((H36*'Información general'!$F$10+(H36)),0)</f>
        <v>1719446</v>
      </c>
      <c r="K36" s="575">
        <f>ROUND((I36*'Información general'!$F$10+(I36)),0)</f>
        <v>0</v>
      </c>
      <c r="L36" s="575">
        <f>+ROUND(IF(J36&lt;2*'Información general'!$F$13,'Información general'!$F$14),0)</f>
        <v>108000</v>
      </c>
      <c r="M36" s="575">
        <f>+ROUND(IF(J36&lt;2*'Información general'!$F$13,'Información general'!$F$15),0)</f>
        <v>66098</v>
      </c>
      <c r="N36" s="575">
        <f>ROUND(((J36/2+L36+M36+R36/12)*'Información general'!$F$26),0)</f>
        <v>1083972</v>
      </c>
      <c r="O36" s="575">
        <f>ROUND((((J36/30)*'Información general'!$F$30)+L36+M36+N36/12+R36/12),0)</f>
        <v>1174303</v>
      </c>
      <c r="P36" s="575">
        <f t="shared" si="0"/>
        <v>2131884</v>
      </c>
      <c r="Q36" s="575">
        <f>ROUND((J36/30*2*'Información general'!$F$28),0)</f>
        <v>114630</v>
      </c>
      <c r="R36" s="575">
        <f>ROUND(IF(J36&gt;2*'Información general'!F44,J36*0.35,J36*0.5)*'Información general'!$F$31,0)</f>
        <v>601806</v>
      </c>
      <c r="S36" s="575">
        <f>ROUND((J36+K36+L36+M36+P36/12+O36/12+N36/12+Q36/12+R36/12*'Información general'!$F$26),0)</f>
        <v>2319094</v>
      </c>
      <c r="T36" s="575">
        <f>ROUND(((J36+K36)*'Información general'!$D$45),0)</f>
        <v>146153</v>
      </c>
      <c r="U36" s="575">
        <f>ROUND(((J36+K36)*'Información general'!$D$46),0)</f>
        <v>206334</v>
      </c>
      <c r="V36" s="575">
        <f>+IF(C36=1,(J36+K36)*'Información general'!$D$47,(J36+K36)*'Información general'!$D$48)</f>
        <v>41885.70456</v>
      </c>
      <c r="W36" s="575">
        <f>+(J36+K36+N36/12+O36/12+P36/12)*'Información general'!$E$49</f>
        <v>83411.70333333334</v>
      </c>
      <c r="X36" s="575">
        <f>+(J36+K36+N36/12+O36/12+P36/12)*'Información general'!$E$50</f>
        <v>62558.7775</v>
      </c>
      <c r="Y36" s="578">
        <f>+(J36+K36+N36/12+O36/12+P36/12)*'Información general'!$E$51</f>
        <v>41705.85166666667</v>
      </c>
      <c r="AA36" s="212" t="str">
        <f>+IF('Información general'!A63="","",'Información general'!A63)</f>
        <v>SANITAS</v>
      </c>
      <c r="AB36" s="213" t="str">
        <f>+IF('Información general'!B63="","",'Información general'!B63)</f>
        <v> </v>
      </c>
      <c r="AC36" s="214" t="str">
        <f>+IF('Información general'!C63="","",'Información general'!C63)</f>
        <v> </v>
      </c>
      <c r="AE36" s="5" t="str">
        <f>IF((C36+D36)=0,"",IF(C36=1,CONCATENATE(E36,"ad"),CONCATENATE(E36,"as")))</f>
        <v>SURA EPSas</v>
      </c>
      <c r="AF36" s="5" t="str">
        <f>IF((C36+D36)=0,"",IF(C36=1,CONCATENATE(F36,"ad"),CONCATENATE(F36,"as")))</f>
        <v>COLPENSIONESas</v>
      </c>
      <c r="AG36" s="5" t="str">
        <f>IF((C36+D36)=0,"",IF(C36=1,CONCATENATE(G36,"ad"),CONCATENATE(G36,"as")))</f>
        <v>PORVENIRas</v>
      </c>
    </row>
    <row r="37" spans="1:33" s="5" customFormat="1" ht="12.75">
      <c r="A37" s="215" t="s">
        <v>696</v>
      </c>
      <c r="B37" s="216" t="s">
        <v>692</v>
      </c>
      <c r="C37" s="584"/>
      <c r="D37" s="584">
        <v>1</v>
      </c>
      <c r="E37" s="215" t="s">
        <v>648</v>
      </c>
      <c r="F37" s="216" t="s">
        <v>639</v>
      </c>
      <c r="G37" s="216" t="s">
        <v>644</v>
      </c>
      <c r="H37" s="216">
        <v>2741411.8656</v>
      </c>
      <c r="I37" s="216">
        <v>548282.37312</v>
      </c>
      <c r="J37" s="575">
        <f>ROUND((H37*'Información general'!$F$10+(H37)),0)</f>
        <v>2878482</v>
      </c>
      <c r="K37" s="575">
        <f>ROUND((I37*'Información general'!$F$10+(I37)),0)</f>
        <v>575696</v>
      </c>
      <c r="L37" s="575">
        <f>+ROUND(IF(J37&lt;2*'Información general'!$F$13,'Información general'!$F$14),0)</f>
        <v>0</v>
      </c>
      <c r="M37" s="575">
        <f>+ROUND(IF(J37&lt;2*'Información general'!$F$13,'Información general'!$F$15),0)</f>
        <v>0</v>
      </c>
      <c r="N37" s="575">
        <f>ROUND(((J37/2+L37+M37+R37/12)*'Información general'!$F$26),0)</f>
        <v>1523197</v>
      </c>
      <c r="O37" s="575">
        <f>ROUND((((J37/30)*'Información general'!$F$30)+L37+M37+N37/12+R37/12),0)</f>
        <v>1650130</v>
      </c>
      <c r="P37" s="575">
        <f>ROUND((J37+L37+M37+O37/12+N37/12+R37/12),0)</f>
        <v>3226882</v>
      </c>
      <c r="Q37" s="575">
        <f>ROUND((J37/30*2*'Información general'!$F$28),0)</f>
        <v>191899</v>
      </c>
      <c r="R37" s="575">
        <f>ROUND(IF(J37&gt;2*'Información general'!F45,J37*0.35,J37*0.5)*'Información general'!$F$31,0)</f>
        <v>1007469</v>
      </c>
      <c r="S37" s="575">
        <f>ROUND((J37+K37+L37+M37+P37/12+O37/12+N37/12+Q37/12+R37/12*'Información general'!$F$26),0)</f>
        <v>4087476</v>
      </c>
      <c r="T37" s="575">
        <f>ROUND(((J37+K37)*'Información general'!$D$45),0)</f>
        <v>293605</v>
      </c>
      <c r="U37" s="575">
        <f>ROUND(((J37+K37)*'Información general'!$D$46),0)</f>
        <v>414501</v>
      </c>
      <c r="V37" s="575">
        <f>+IF(C37=1,(J37+K37)*'Información general'!$D$47,(J37+K37)*'Información general'!$D$48)</f>
        <v>84143.77608</v>
      </c>
      <c r="W37" s="575">
        <f>+(J37+K37+N37/12+O37/12+P37/12)*'Información general'!$E$49</f>
        <v>159501.15000000002</v>
      </c>
      <c r="X37" s="575">
        <f>+(J37+K37+N37/12+O37/12+P37/12)*'Información general'!$E$50</f>
        <v>119625.8625</v>
      </c>
      <c r="Y37" s="578">
        <f>+(J37+K37+N37/12+O37/12+P37/12)*'Información general'!$E$51</f>
        <v>79750.57500000001</v>
      </c>
      <c r="AA37" s="212"/>
      <c r="AB37" s="213"/>
      <c r="AC37" s="214"/>
      <c r="AE37" s="5" t="str">
        <f>IF((C37+D37)=0,"",IF(C37=1,CONCATENATE(E37,"ad"),CONCATENATE(E37,"as")))</f>
        <v>SURA EPSas</v>
      </c>
      <c r="AF37" s="5" t="str">
        <f>IF((C37+D37)=0,"",IF(C37=1,CONCATENATE(F37,"ad"),CONCATENATE(F37,"as")))</f>
        <v>COLPENSIONESas</v>
      </c>
      <c r="AG37" s="5" t="str">
        <f>IF((C37+D37)=0,"",IF(C37=1,CONCATENATE(G37,"ad"),CONCATENATE(G37,"as")))</f>
        <v>FONDO NACIONALas</v>
      </c>
    </row>
    <row r="38" spans="1:33" s="5" customFormat="1" ht="12.75">
      <c r="A38" s="215" t="s">
        <v>697</v>
      </c>
      <c r="B38" s="216" t="s">
        <v>692</v>
      </c>
      <c r="C38" s="584"/>
      <c r="D38" s="584">
        <v>1</v>
      </c>
      <c r="E38" s="215" t="s">
        <v>646</v>
      </c>
      <c r="F38" s="216" t="s">
        <v>564</v>
      </c>
      <c r="G38" s="216" t="s">
        <v>644</v>
      </c>
      <c r="H38" s="216">
        <v>1637567.7696</v>
      </c>
      <c r="I38" s="216"/>
      <c r="J38" s="575">
        <f>ROUND((H38*'Información general'!$F$10+(H38)),0)</f>
        <v>1719446</v>
      </c>
      <c r="K38" s="575">
        <f>ROUND((I38*'Información general'!$F$10+(I38)),0)</f>
        <v>0</v>
      </c>
      <c r="L38" s="575">
        <f>+ROUND(IF(J38&lt;2*'Información general'!$F$13,'Información general'!$F$14),0)</f>
        <v>108000</v>
      </c>
      <c r="M38" s="575">
        <f>+ROUND(IF(J38&lt;2*'Información general'!$F$13,'Información general'!$F$15),0)</f>
        <v>66098</v>
      </c>
      <c r="N38" s="575">
        <f>ROUND(((J38/2+L38+M38+R38/12)*'Información general'!$F$26),0)</f>
        <v>1083972</v>
      </c>
      <c r="O38" s="575">
        <f>ROUND((((J38/30)*'Información general'!$F$30)+L38+M38+N38/12+R38/12),0)</f>
        <v>1174303</v>
      </c>
      <c r="P38" s="575">
        <f>ROUND((J38+L38+M38+O38/12+N38/12+R38/12),0)</f>
        <v>2131884</v>
      </c>
      <c r="Q38" s="575">
        <f>ROUND((J38/30*2*'Información general'!$F$28),0)</f>
        <v>114630</v>
      </c>
      <c r="R38" s="575">
        <f>ROUND(IF(J38&gt;2*'Información general'!F46,J38*0.35,J38*0.5)*'Información general'!$F$31,0)</f>
        <v>601806</v>
      </c>
      <c r="S38" s="575">
        <f>ROUND((J38+K38+L38+M38+P38/12+O38/12+N38/12+Q38/12+R38/12*'Información general'!$F$26),0)</f>
        <v>2319094</v>
      </c>
      <c r="T38" s="575">
        <f>ROUND(((J38+K38)*'Información general'!$D$45),0)</f>
        <v>146153</v>
      </c>
      <c r="U38" s="575">
        <f>ROUND(((J38+K38)*'Información general'!$D$46),0)</f>
        <v>206334</v>
      </c>
      <c r="V38" s="575">
        <f>+IF(C38=1,(J38+K38)*'Información general'!$D$47,(J38+K38)*'Información general'!$D$48)</f>
        <v>41885.70456</v>
      </c>
      <c r="W38" s="575">
        <f>+(J38+K38+N38/12+O38/12+P38/12)*'Información general'!$E$49</f>
        <v>83411.70333333334</v>
      </c>
      <c r="X38" s="575">
        <f>+(J38+K38+N38/12+O38/12+P38/12)*'Información general'!$E$50</f>
        <v>62558.7775</v>
      </c>
      <c r="Y38" s="578">
        <f>+(J38+K38+N38/12+O38/12+P38/12)*'Información general'!$E$51</f>
        <v>41705.85166666667</v>
      </c>
      <c r="AA38" s="212"/>
      <c r="AB38" s="213"/>
      <c r="AC38" s="214"/>
      <c r="AE38" s="5" t="str">
        <f>IF((C38+D38)=0,"",IF(C38=1,CONCATENATE(E38,"ad"),CONCATENATE(E38,"as")))</f>
        <v>SANITASas</v>
      </c>
      <c r="AF38" s="5" t="str">
        <f>IF((C38+D38)=0,"",IF(C38=1,CONCATENATE(F38,"ad"),CONCATENATE(F38,"as")))</f>
        <v>PROTECCIONas</v>
      </c>
      <c r="AG38" s="5" t="str">
        <f>IF((C38+D38)=0,"",IF(C38=1,CONCATENATE(G38,"ad"),CONCATENATE(G38,"as")))</f>
        <v>FONDO NACIONALas</v>
      </c>
    </row>
    <row r="39" spans="1:33" s="5" customFormat="1" ht="12.75">
      <c r="A39" s="215" t="s">
        <v>698</v>
      </c>
      <c r="B39" s="216" t="s">
        <v>699</v>
      </c>
      <c r="C39" s="584"/>
      <c r="D39" s="584">
        <v>1</v>
      </c>
      <c r="E39" s="215" t="s">
        <v>646</v>
      </c>
      <c r="F39" s="216" t="s">
        <v>564</v>
      </c>
      <c r="G39" s="216" t="s">
        <v>564</v>
      </c>
      <c r="H39" s="216">
        <v>6441621.1488</v>
      </c>
      <c r="I39" s="216"/>
      <c r="J39" s="575">
        <f>ROUND((H39*'Información general'!$F$10+(H39)),0)</f>
        <v>6763702</v>
      </c>
      <c r="K39" s="575">
        <f>ROUND((I39*'Información general'!$F$10+(I39)),0)</f>
        <v>0</v>
      </c>
      <c r="L39" s="575">
        <f>+ROUND(IF(J39&lt;2*'Información general'!$F$13,'Información general'!$F$14),0)</f>
        <v>0</v>
      </c>
      <c r="M39" s="575">
        <f>+ROUND(IF(J39&lt;2*'Información general'!$F$13,'Información general'!$F$15),0)</f>
        <v>0</v>
      </c>
      <c r="N39" s="575">
        <f>ROUND(((J39/2+L39+M39+R39/12)*'Información general'!$F$26),0)</f>
        <v>3579126</v>
      </c>
      <c r="O39" s="575">
        <f>ROUND((((J39/30)*'Información general'!$F$30)+L39+M39+N39/12+R39/12),0)</f>
        <v>3877386</v>
      </c>
      <c r="P39" s="575">
        <f>ROUND((J39+L39+M39+O39/12+N39/12+R39/12),0)</f>
        <v>7582353</v>
      </c>
      <c r="Q39" s="575">
        <f>ROUND((J39/30*2*'Información general'!$F$28),0)</f>
        <v>450913</v>
      </c>
      <c r="R39" s="575">
        <f>ROUND(IF(J39&gt;2*'Información general'!F47,J39*0.35,J39*0.5)*'Información general'!$F$31,0)</f>
        <v>2367296</v>
      </c>
      <c r="S39" s="575">
        <f>ROUND((J39+K39+L39+M39+P39/12+O39/12+N39/12+Q39/12+R39/12*'Información general'!$F$26),0)</f>
        <v>8251792</v>
      </c>
      <c r="T39" s="575">
        <f>ROUND(((J39+K39)*'Información general'!$D$45),0)</f>
        <v>574915</v>
      </c>
      <c r="U39" s="575">
        <f>ROUND(((J39+K39)*'Información general'!$D$46),0)</f>
        <v>811644</v>
      </c>
      <c r="V39" s="575">
        <f>+IF(C39=1,(J39+K39)*'Información general'!$D$47,(J39+K39)*'Información general'!$D$48)</f>
        <v>164763.78072</v>
      </c>
      <c r="W39" s="575">
        <f>+(J39+K39+N39/12+O39/12+P39/12)*'Información general'!$E$49</f>
        <v>320677.63</v>
      </c>
      <c r="X39" s="575">
        <f>+(J39+K39+N39/12+O39/12+P39/12)*'Información general'!$E$50</f>
        <v>240508.2225</v>
      </c>
      <c r="Y39" s="578">
        <f>+(J39+K39+N39/12+O39/12+P39/12)*'Información general'!$E$51</f>
        <v>160338.815</v>
      </c>
      <c r="AA39" s="212"/>
      <c r="AB39" s="213"/>
      <c r="AC39" s="214"/>
      <c r="AE39" s="5" t="str">
        <f>IF((C39+D39)=0,"",IF(C39=1,CONCATENATE(E39,"ad"),CONCATENATE(E39,"as")))</f>
        <v>SANITASas</v>
      </c>
      <c r="AF39" s="5" t="str">
        <f>IF((C39+D39)=0,"",IF(C39=1,CONCATENATE(F39,"ad"),CONCATENATE(F39,"as")))</f>
        <v>PROTECCIONas</v>
      </c>
      <c r="AG39" s="5" t="str">
        <f>IF((C39+D39)=0,"",IF(C39=1,CONCATENATE(G39,"ad"),CONCATENATE(G39,"as")))</f>
        <v>PROTECCIONas</v>
      </c>
    </row>
    <row r="40" spans="1:33" s="5" customFormat="1" ht="12.75">
      <c r="A40" s="215" t="s">
        <v>731</v>
      </c>
      <c r="B40" s="216" t="s">
        <v>731</v>
      </c>
      <c r="C40" s="584"/>
      <c r="D40" s="584">
        <v>1</v>
      </c>
      <c r="E40" s="215" t="s">
        <v>648</v>
      </c>
      <c r="F40" s="216" t="s">
        <v>639</v>
      </c>
      <c r="G40" s="216" t="s">
        <v>564</v>
      </c>
      <c r="H40" s="216">
        <v>5860976.6376</v>
      </c>
      <c r="I40" s="216"/>
      <c r="J40" s="575">
        <f>ROUND((H40*'Información general'!$F$10+(H40)),0)</f>
        <v>6154025</v>
      </c>
      <c r="K40" s="575">
        <f>ROUND((I40*'Información general'!$F$10+(I40)),0)</f>
        <v>0</v>
      </c>
      <c r="L40" s="575">
        <f>+ROUND(IF(J40&lt;2*'Información general'!$F$13,'Información general'!$F$14),0)</f>
        <v>0</v>
      </c>
      <c r="M40" s="575">
        <f>+ROUND(IF(J40&lt;2*'Información general'!$F$13,'Información general'!$F$15),0)</f>
        <v>0</v>
      </c>
      <c r="N40" s="575">
        <f>ROUND(((J40/2+L40+M40+R40/12)*'Información general'!$F$26),0)</f>
        <v>3256505</v>
      </c>
      <c r="O40" s="575">
        <f>ROUND((((J40/30)*'Información general'!$F$30)+L40+M40+N40/12+R40/12),0)</f>
        <v>3527880</v>
      </c>
      <c r="P40" s="575">
        <f>ROUND((J40+L40+M40+O40/12+N40/12+R40/12),0)</f>
        <v>6898883</v>
      </c>
      <c r="Q40" s="575">
        <f>ROUND((J40/30*2*'Información general'!$F$28),0)</f>
        <v>410268</v>
      </c>
      <c r="R40" s="575">
        <f>ROUND(IF(J40&gt;2*'Información general'!F48,J40*0.35,J40*0.5)*'Información general'!$F$31,0)</f>
        <v>2153909</v>
      </c>
      <c r="S40" s="575">
        <f>ROUND((J40+K40+L40+M40+P40/12+O40/12+N40/12+Q40/12+R40/12*'Información general'!$F$26),0)</f>
        <v>7507979</v>
      </c>
      <c r="T40" s="575">
        <f>ROUND(((J40+K40)*'Información general'!$D$45),0)</f>
        <v>523092</v>
      </c>
      <c r="U40" s="575">
        <f>ROUND(((J40+K40)*'Información general'!$D$46),0)</f>
        <v>738483</v>
      </c>
      <c r="V40" s="575">
        <f>+IF(C40=1,(J40+K40)*'Información general'!$D$47,(J40+K40)*'Información general'!$D$48)</f>
        <v>149912.049</v>
      </c>
      <c r="W40" s="575">
        <f>+(J40+K40+N40/12+O40/12+P40/12)*'Información general'!$E$49</f>
        <v>291771.89333333337</v>
      </c>
      <c r="X40" s="575">
        <f>+(J40+K40+N40/12+O40/12+P40/12)*'Información general'!$E$50</f>
        <v>218828.92</v>
      </c>
      <c r="Y40" s="578">
        <f>+(J40+K40+N40/12+O40/12+P40/12)*'Información general'!$E$51</f>
        <v>145885.94666666668</v>
      </c>
      <c r="AA40" s="212"/>
      <c r="AB40" s="213"/>
      <c r="AC40" s="214"/>
      <c r="AE40" s="5" t="str">
        <f>IF((C40+D40)=0,"",IF(C40=1,CONCATENATE(E40,"ad"),CONCATENATE(E40,"as")))</f>
        <v>SURA EPSas</v>
      </c>
      <c r="AF40" s="5" t="str">
        <f>IF((C40+D40)=0,"",IF(C40=1,CONCATENATE(F40,"ad"),CONCATENATE(F40,"as")))</f>
        <v>COLPENSIONESas</v>
      </c>
      <c r="AG40" s="5" t="str">
        <f>IF((C40+D40)=0,"",IF(C40=1,CONCATENATE(G40,"ad"),CONCATENATE(G40,"as")))</f>
        <v>PROTECCIONas</v>
      </c>
    </row>
    <row r="41" spans="1:25" ht="13.5" thickBot="1">
      <c r="A41" s="673" t="s">
        <v>15</v>
      </c>
      <c r="B41" s="674"/>
      <c r="C41" s="674"/>
      <c r="D41" s="674"/>
      <c r="E41" s="675"/>
      <c r="F41" s="675"/>
      <c r="G41" s="675"/>
      <c r="H41" s="579">
        <f aca="true" t="shared" si="1" ref="H41:Y41">+SUM(H5:H40)</f>
        <v>145064332.77840003</v>
      </c>
      <c r="I41" s="579">
        <f t="shared" si="1"/>
        <v>7553653.380726</v>
      </c>
      <c r="J41" s="579">
        <f t="shared" si="1"/>
        <v>152317547</v>
      </c>
      <c r="K41" s="579">
        <f t="shared" si="1"/>
        <v>7931336</v>
      </c>
      <c r="L41" s="579">
        <f t="shared" si="1"/>
        <v>216000</v>
      </c>
      <c r="M41" s="579">
        <f t="shared" si="1"/>
        <v>198294</v>
      </c>
      <c r="N41" s="579">
        <f t="shared" si="1"/>
        <v>81015668</v>
      </c>
      <c r="O41" s="579">
        <f t="shared" si="1"/>
        <v>87766966</v>
      </c>
      <c r="P41" s="579">
        <f t="shared" si="1"/>
        <v>171239657</v>
      </c>
      <c r="Q41" s="579">
        <f t="shared" si="1"/>
        <v>10154499</v>
      </c>
      <c r="R41" s="579">
        <f t="shared" si="1"/>
        <v>53311145</v>
      </c>
      <c r="S41" s="579">
        <f t="shared" si="1"/>
        <v>194287173</v>
      </c>
      <c r="T41" s="579">
        <f t="shared" si="1"/>
        <v>13621155</v>
      </c>
      <c r="U41" s="579">
        <f t="shared" si="1"/>
        <v>19229865</v>
      </c>
      <c r="V41" s="579">
        <f t="shared" si="1"/>
        <v>2908787.25636</v>
      </c>
      <c r="W41" s="579">
        <f t="shared" si="1"/>
        <v>7543362.956666666</v>
      </c>
      <c r="X41" s="579">
        <f t="shared" si="1"/>
        <v>5657522.217499999</v>
      </c>
      <c r="Y41" s="580">
        <f t="shared" si="1"/>
        <v>3771681.478333333</v>
      </c>
    </row>
    <row r="42" ht="12.75"/>
    <row r="43" spans="20:25" ht="12.75">
      <c r="T43" s="24">
        <f aca="true" t="shared" si="2" ref="T43:Y43">+T41*12</f>
        <v>163453860</v>
      </c>
      <c r="U43" s="24">
        <f t="shared" si="2"/>
        <v>230758380</v>
      </c>
      <c r="V43" s="24">
        <f t="shared" si="2"/>
        <v>34905447.07632</v>
      </c>
      <c r="W43" s="24">
        <f t="shared" si="2"/>
        <v>90520355.47999999</v>
      </c>
      <c r="X43" s="24">
        <f t="shared" si="2"/>
        <v>67890266.60999998</v>
      </c>
      <c r="Y43" s="24">
        <f t="shared" si="2"/>
        <v>45260177.739999995</v>
      </c>
    </row>
    <row r="339" ht="12.75"/>
    <row r="340" ht="12.75"/>
    <row r="341" ht="12.75"/>
    <row r="342" ht="12.75"/>
    <row r="343" ht="12.75"/>
    <row r="344" ht="12.75"/>
    <row r="345" ht="12.75"/>
    <row r="346" ht="12.75"/>
    <row r="347" ht="12.75"/>
    <row r="348" ht="12.75"/>
    <row r="349" ht="12.75"/>
    <row r="350" ht="12.75"/>
    <row r="351" ht="12.75"/>
    <row r="352" ht="12.75"/>
    <row r="353" ht="12.75"/>
    <row r="354" ht="12.75"/>
    <row r="355" ht="12.75"/>
    <row r="356" ht="12.75"/>
    <row r="357" ht="12.75"/>
    <row r="358" ht="12.75"/>
    <row r="359" ht="12.75"/>
    <row r="360" ht="12.75"/>
    <row r="361" ht="12.75"/>
    <row r="362" ht="12.75"/>
    <row r="363" ht="12.75"/>
    <row r="364" ht="12.75"/>
    <row r="365" ht="12.75"/>
    <row r="366" ht="12.75"/>
    <row r="367" ht="12.75"/>
    <row r="368" ht="12.75"/>
    <row r="369" ht="12.75"/>
    <row r="370" ht="12.75"/>
    <row r="371" ht="12.75"/>
    <row r="372" ht="12.75"/>
    <row r="373" ht="12.75"/>
    <row r="374" ht="12.75"/>
    <row r="375" ht="12.75"/>
    <row r="376" ht="12.75"/>
    <row r="377" ht="12.75"/>
    <row r="378" ht="12.75"/>
    <row r="379" ht="12.75"/>
    <row r="380" ht="12.75"/>
    <row r="381" ht="12.75"/>
    <row r="382" ht="12.75"/>
    <row r="383" ht="12.75"/>
    <row r="384" ht="12.75"/>
    <row r="385" ht="12.75"/>
    <row r="386" ht="12.75"/>
    <row r="387" ht="12.75"/>
    <row r="388" ht="12.75"/>
    <row r="389" ht="12.75"/>
    <row r="390" ht="12.75"/>
    <row r="391" ht="12.75"/>
    <row r="392" ht="12.75"/>
    <row r="393" ht="12.75"/>
    <row r="394" ht="12.75"/>
    <row r="395" ht="12.75"/>
    <row r="396" ht="12.75"/>
    <row r="397" ht="12.75"/>
    <row r="398" ht="12.75"/>
    <row r="399" ht="12.75"/>
    <row r="400" ht="12.75"/>
    <row r="401" ht="12.75"/>
    <row r="402" ht="12.75"/>
    <row r="403" ht="12.75"/>
    <row r="404" ht="12.75"/>
    <row r="405" ht="12.75"/>
    <row r="406" ht="12.75"/>
    <row r="407" ht="12.75"/>
    <row r="408" ht="12.75"/>
    <row r="409" ht="12.75"/>
    <row r="410" ht="12.75"/>
    <row r="411" ht="12.75"/>
    <row r="412" ht="12.75"/>
    <row r="413" ht="12.75"/>
    <row r="414" ht="12.75"/>
    <row r="415" ht="12.75"/>
    <row r="416" ht="12.75"/>
    <row r="417" ht="12.75"/>
    <row r="418" ht="12.75"/>
    <row r="419" ht="12.75"/>
    <row r="420" ht="12.75"/>
    <row r="421" ht="12.75"/>
    <row r="422" ht="12.75"/>
    <row r="423" ht="12.75"/>
    <row r="424" ht="12.75"/>
    <row r="425" ht="12.75"/>
    <row r="426" ht="12.75"/>
    <row r="427" ht="12.75"/>
    <row r="428" ht="12.75"/>
    <row r="429" ht="12.75"/>
    <row r="430" ht="12.75"/>
    <row r="431" ht="12.75"/>
    <row r="432" ht="12.75"/>
    <row r="433" ht="12.75"/>
    <row r="434" ht="12.75"/>
    <row r="435" ht="12.75"/>
    <row r="436" ht="12.75"/>
    <row r="437" ht="12.75"/>
    <row r="438" ht="12.75"/>
    <row r="439" ht="12.75"/>
    <row r="440" ht="12.75"/>
    <row r="441" ht="12.75"/>
    <row r="442" ht="12.75"/>
    <row r="443" ht="12.75"/>
    <row r="444" ht="12.75"/>
    <row r="445" ht="12.75"/>
    <row r="446" ht="12.75"/>
    <row r="447" ht="12.75"/>
    <row r="448" ht="12.75"/>
    <row r="449" ht="12.75"/>
    <row r="450" ht="12.75"/>
    <row r="451" ht="12.75"/>
    <row r="452" ht="12.75"/>
    <row r="453" ht="12.75"/>
    <row r="454" ht="12.75"/>
    <row r="455" ht="12.75"/>
    <row r="456" ht="12.75"/>
    <row r="457" ht="12.75"/>
    <row r="458" ht="12.75"/>
    <row r="459" ht="12.75"/>
    <row r="460" ht="12.75"/>
    <row r="461" ht="12.75"/>
    <row r="462" ht="12.75"/>
    <row r="463" ht="12.75"/>
    <row r="464" ht="12.75"/>
    <row r="465" ht="12.75"/>
    <row r="466" ht="12.75"/>
    <row r="467" ht="12.75"/>
    <row r="468" ht="12.75"/>
    <row r="469" ht="12.75"/>
    <row r="470" ht="12.75"/>
    <row r="471" ht="12.75"/>
    <row r="472" ht="12.75"/>
    <row r="473" ht="12.75"/>
    <row r="474" ht="12.75"/>
    <row r="475" ht="12.75"/>
    <row r="476" ht="12.75"/>
    <row r="477" ht="12.75"/>
    <row r="478" ht="12.75"/>
    <row r="479" ht="12.75"/>
    <row r="480" ht="12.75"/>
    <row r="481" ht="12.75"/>
    <row r="482" ht="12.75"/>
    <row r="483" ht="12.75"/>
    <row r="484" ht="12.75"/>
    <row r="485" ht="12.75"/>
    <row r="486" ht="12.75"/>
    <row r="487" ht="12.75"/>
    <row r="488" ht="12.75"/>
    <row r="489" ht="12.75"/>
    <row r="490" ht="12.75"/>
    <row r="491" ht="12.75"/>
    <row r="492" ht="12.75"/>
    <row r="493" ht="12.75"/>
    <row r="494" ht="12.75"/>
    <row r="495" ht="12.75"/>
    <row r="496" ht="12.75"/>
    <row r="497" ht="12.75"/>
    <row r="498" ht="12.75"/>
    <row r="499" ht="12.75"/>
    <row r="500" ht="12.75"/>
    <row r="501" ht="12.75"/>
    <row r="502" ht="12.75"/>
    <row r="503" ht="12.75"/>
    <row r="504" ht="12.75"/>
    <row r="505" ht="12.75"/>
    <row r="506" ht="12.75"/>
    <row r="507" ht="12.75"/>
    <row r="508" ht="12.75"/>
    <row r="509" ht="12.75"/>
    <row r="510" ht="12.75"/>
    <row r="511" ht="12.75"/>
    <row r="512" ht="12.75"/>
    <row r="513" ht="12.75"/>
    <row r="514" ht="12.75"/>
    <row r="515" ht="12.75"/>
    <row r="516" ht="12.75"/>
    <row r="517" ht="12.75"/>
    <row r="518" ht="12.75"/>
    <row r="519" ht="12.75"/>
    <row r="520" ht="12.75"/>
    <row r="521" ht="12.75"/>
    <row r="522" ht="12.75"/>
    <row r="523" ht="12.75"/>
    <row r="524" ht="12.75"/>
    <row r="525" ht="12.75"/>
    <row r="526" ht="12.75"/>
    <row r="527" ht="12.75"/>
    <row r="528" ht="12.75"/>
    <row r="529" ht="12.75"/>
    <row r="530" ht="12.75"/>
    <row r="531" ht="12.75"/>
    <row r="532" ht="12.75"/>
    <row r="533" ht="12.75"/>
    <row r="534" ht="12.75"/>
    <row r="535" ht="12.75"/>
    <row r="536" ht="12.75"/>
    <row r="537" ht="12.75"/>
    <row r="538" ht="12.75"/>
    <row r="539" ht="12.75"/>
    <row r="540" ht="12.75"/>
    <row r="541" ht="12.75"/>
    <row r="542" ht="12.75"/>
    <row r="543" ht="12.75"/>
    <row r="544" ht="12.75"/>
    <row r="545" ht="12.75"/>
    <row r="546" ht="12.75"/>
    <row r="547" ht="12.75"/>
    <row r="548" ht="12.75"/>
    <row r="549" ht="12.75"/>
    <row r="550" ht="12.75"/>
    <row r="551" ht="12.75"/>
    <row r="552" ht="12.75"/>
    <row r="553" ht="12.75"/>
    <row r="554" ht="12.75"/>
    <row r="555" ht="12.75"/>
    <row r="556" ht="12.75"/>
    <row r="557" ht="12.75"/>
    <row r="558" ht="12.75"/>
    <row r="559" ht="12.75"/>
    <row r="560" ht="12.75"/>
    <row r="561" ht="12.75"/>
    <row r="562" ht="12.75"/>
    <row r="563" ht="12.75"/>
    <row r="564" ht="12.75"/>
    <row r="565" ht="12.75"/>
    <row r="566" ht="12.75"/>
    <row r="567" ht="12.75"/>
    <row r="568" ht="12.75"/>
    <row r="569" ht="12.75"/>
    <row r="570" ht="12.75"/>
    <row r="571" ht="12.75"/>
    <row r="572" ht="12.75"/>
    <row r="573" ht="12.75"/>
    <row r="574" ht="12.75"/>
    <row r="575" ht="12.75"/>
    <row r="576" ht="12.75"/>
    <row r="577" ht="12.75"/>
    <row r="578" ht="12.75"/>
    <row r="579" ht="12.75"/>
    <row r="580" ht="12.75"/>
    <row r="581" ht="12.75"/>
    <row r="582" ht="12.75"/>
    <row r="583" ht="12.75"/>
    <row r="584" ht="12.75"/>
    <row r="585" ht="12.75"/>
    <row r="586" ht="12.75"/>
    <row r="587" ht="12.75"/>
    <row r="588" ht="12.75"/>
    <row r="589" ht="12.75"/>
    <row r="590" ht="12.75"/>
    <row r="591" ht="12.75"/>
    <row r="592" ht="12.75"/>
    <row r="593" ht="12.75"/>
    <row r="594" ht="12.75"/>
    <row r="595" ht="12.75"/>
    <row r="596" ht="12.75"/>
    <row r="597" ht="12.75"/>
    <row r="598" ht="12.75"/>
    <row r="599" ht="12.75"/>
    <row r="600" ht="12.75"/>
    <row r="601" ht="12.75"/>
    <row r="602" ht="12.75"/>
    <row r="603" ht="12.75"/>
    <row r="604" ht="12.75"/>
    <row r="605" ht="12.75"/>
    <row r="606" ht="12.75"/>
    <row r="607" ht="12.75"/>
    <row r="608" ht="12.75"/>
    <row r="609" ht="12.75"/>
    <row r="610" ht="12.75"/>
    <row r="611" ht="12.75"/>
    <row r="612" ht="12.75"/>
    <row r="613" ht="12.75"/>
    <row r="614" ht="12.75"/>
    <row r="615" ht="12.75"/>
    <row r="616" ht="12.75"/>
    <row r="617" ht="12.75"/>
    <row r="618" ht="12.75"/>
    <row r="619" ht="12.75"/>
    <row r="620" ht="12.75"/>
    <row r="621" ht="12.75"/>
    <row r="622" ht="12.75"/>
    <row r="623" ht="12.75"/>
    <row r="624" ht="12.75"/>
    <row r="625" ht="12.75"/>
    <row r="626" ht="12.75"/>
    <row r="627" ht="12.75"/>
    <row r="628" ht="12.75"/>
    <row r="629" ht="12.75"/>
    <row r="630" ht="12.75"/>
    <row r="631" ht="12.75"/>
    <row r="632" ht="12.75"/>
    <row r="633" ht="12.75"/>
    <row r="634" ht="12.75"/>
    <row r="635" ht="12.75"/>
    <row r="636" ht="12.75"/>
    <row r="637" ht="12.75"/>
    <row r="638" ht="12.75"/>
    <row r="639" ht="12.75"/>
    <row r="640" ht="12.75"/>
    <row r="641" ht="12.75"/>
    <row r="642" ht="12.75"/>
    <row r="643" ht="12.75"/>
    <row r="644" ht="12.75"/>
    <row r="645" ht="12.75"/>
    <row r="646" ht="12.75"/>
    <row r="647" ht="12.75"/>
    <row r="648" ht="12.75"/>
    <row r="649" ht="12.75"/>
    <row r="650" ht="12.75"/>
    <row r="651" ht="12.75"/>
    <row r="652" ht="12.75"/>
    <row r="653" ht="12.75"/>
    <row r="654" ht="12.75"/>
    <row r="655" ht="12.75"/>
    <row r="656" ht="12.75"/>
    <row r="657" ht="12.75"/>
    <row r="658" ht="12.75"/>
    <row r="659" ht="12.75"/>
    <row r="660" ht="12.75"/>
    <row r="661" ht="12.75"/>
    <row r="662" ht="12.75"/>
    <row r="663" ht="12.75"/>
    <row r="664" ht="12.75"/>
    <row r="665" ht="12.75"/>
    <row r="666" ht="12.75"/>
    <row r="667" ht="12.75"/>
    <row r="668" ht="12.75"/>
    <row r="669" ht="12.75"/>
    <row r="670" ht="12.75"/>
    <row r="671" ht="12.75"/>
    <row r="672" ht="12.75"/>
    <row r="673" ht="12.75"/>
    <row r="674" ht="12.75"/>
    <row r="675" ht="12.75"/>
    <row r="676" ht="12.75"/>
    <row r="677" ht="12.75"/>
    <row r="678" ht="12.75"/>
    <row r="679" ht="12.75"/>
    <row r="680" ht="12.75"/>
    <row r="681" ht="12.75"/>
    <row r="682" ht="12.75"/>
    <row r="683" ht="12.75"/>
    <row r="684" ht="12.75"/>
    <row r="685" ht="12.75"/>
    <row r="686" ht="12.75"/>
    <row r="687" ht="12.75"/>
    <row r="688" ht="12.75"/>
    <row r="689" ht="12.75"/>
    <row r="690" ht="12.75"/>
    <row r="691" ht="12.75"/>
    <row r="692" ht="12.75"/>
    <row r="693" ht="12.75"/>
    <row r="694" ht="12.75"/>
    <row r="695" ht="12.75"/>
    <row r="696" ht="12.75"/>
    <row r="697" ht="12.75"/>
    <row r="698" ht="12.75"/>
    <row r="699" ht="12.75"/>
    <row r="700" ht="12.75"/>
    <row r="701" ht="12.75"/>
    <row r="702" ht="12.75"/>
    <row r="703" ht="12.75"/>
    <row r="704" ht="12.75"/>
    <row r="705" ht="12.75"/>
    <row r="706" ht="12.75"/>
    <row r="707" ht="12.75"/>
    <row r="708" ht="12.75"/>
    <row r="709" ht="12.75"/>
    <row r="710" ht="12.75"/>
    <row r="711" ht="12.75"/>
    <row r="712" ht="12.75"/>
    <row r="713" ht="12.75"/>
    <row r="714" ht="12.75"/>
    <row r="715" ht="12.75"/>
    <row r="716" ht="12.75"/>
    <row r="717" ht="12.75"/>
    <row r="718" ht="12.75"/>
    <row r="719" ht="12.75"/>
    <row r="720" ht="12.75"/>
    <row r="721" ht="12.75"/>
    <row r="722" ht="12.75"/>
    <row r="723" ht="12.75"/>
    <row r="724" ht="12.75"/>
    <row r="725" ht="12.75"/>
    <row r="726" ht="12.75"/>
    <row r="727" ht="12.75"/>
    <row r="728" ht="12.75"/>
    <row r="729" ht="12.75"/>
    <row r="730" ht="12.75"/>
    <row r="731" ht="12.75"/>
    <row r="732" ht="12.75"/>
    <row r="733" ht="12.75"/>
    <row r="734" ht="12.75"/>
    <row r="735" ht="12.75"/>
    <row r="736" ht="12.75"/>
    <row r="737" ht="12.75"/>
    <row r="738" ht="12.75"/>
    <row r="739" ht="12.75"/>
    <row r="740" ht="12.75"/>
    <row r="741" ht="12.75"/>
    <row r="742" ht="12.75"/>
    <row r="743" ht="12.75"/>
    <row r="744" ht="12.75"/>
    <row r="745" ht="12.75"/>
    <row r="746" ht="12.75"/>
    <row r="747" ht="12.75"/>
    <row r="748" ht="12.75"/>
    <row r="749" ht="12.75"/>
    <row r="750" ht="12.75"/>
    <row r="751" ht="12.75"/>
    <row r="752" ht="12.75"/>
    <row r="753" ht="12.75"/>
    <row r="754" ht="12.75"/>
    <row r="755" ht="12.75"/>
    <row r="756" ht="12.75"/>
    <row r="757" ht="12.75"/>
    <row r="758" ht="12.75"/>
    <row r="759" ht="12.75"/>
    <row r="760" ht="12.75"/>
    <row r="761" ht="12.75"/>
    <row r="762" ht="12.75"/>
    <row r="763" ht="12.75"/>
    <row r="764" ht="12.75"/>
    <row r="765" ht="12.75"/>
    <row r="766" ht="12.75"/>
    <row r="767" ht="12.75"/>
    <row r="768" ht="12.75"/>
    <row r="769" ht="12.75"/>
    <row r="770" ht="12.75"/>
    <row r="771" ht="12.75"/>
    <row r="772" ht="12.75"/>
    <row r="773" ht="12.75"/>
    <row r="774" ht="12.75"/>
    <row r="775" ht="12.75"/>
    <row r="776" ht="12.75"/>
    <row r="777" ht="12.75"/>
    <row r="778" ht="12.75"/>
    <row r="779" ht="12.75"/>
    <row r="780" ht="12.75"/>
    <row r="781" ht="12.75"/>
    <row r="782" ht="12.75"/>
    <row r="783" ht="12.75"/>
    <row r="784" ht="12.75"/>
    <row r="785" ht="12.75"/>
    <row r="786" ht="12.75"/>
    <row r="787" ht="12.75"/>
    <row r="788" ht="12.75"/>
    <row r="789" ht="12.75"/>
    <row r="790" ht="12.75"/>
    <row r="791" ht="12.75"/>
    <row r="792" ht="12.75"/>
    <row r="793" ht="12.75"/>
    <row r="794" ht="12.75"/>
    <row r="795" ht="12.75"/>
    <row r="796" ht="12.75"/>
    <row r="797" ht="12.75"/>
    <row r="798" ht="12.75"/>
    <row r="799" ht="12.75"/>
    <row r="800" ht="12.75"/>
    <row r="801" ht="12.75"/>
    <row r="802" ht="12.75"/>
    <row r="803" ht="12.75"/>
    <row r="804" ht="12.75"/>
    <row r="805" ht="12.75"/>
    <row r="806" ht="12.75"/>
    <row r="807" ht="12.75"/>
    <row r="808" ht="12.75"/>
    <row r="809" ht="12.75"/>
    <row r="810" ht="12.75"/>
    <row r="811" ht="12.75"/>
    <row r="812" ht="12.75"/>
    <row r="813" ht="12.75"/>
    <row r="814" ht="12.75"/>
    <row r="815" ht="12.75"/>
    <row r="816" ht="12.75"/>
    <row r="817" ht="12.75"/>
    <row r="818" ht="12.75"/>
    <row r="819" ht="12.75"/>
    <row r="820" ht="12.75"/>
    <row r="821" ht="12.75"/>
    <row r="822" ht="12.75"/>
    <row r="823" ht="12.75"/>
    <row r="824" ht="12.75"/>
    <row r="825" ht="12.75"/>
    <row r="826" ht="12.75"/>
    <row r="827" ht="12.75"/>
    <row r="828" ht="12.75"/>
    <row r="829" ht="12.75"/>
    <row r="830" ht="12.75"/>
    <row r="831" ht="12.75"/>
    <row r="832" ht="12.75"/>
    <row r="833" ht="12.75"/>
    <row r="834" ht="12.75"/>
    <row r="835" ht="12.75"/>
    <row r="836" ht="12.75"/>
    <row r="837" ht="12.75"/>
    <row r="838" ht="12.75"/>
    <row r="839" ht="12.75"/>
    <row r="840" ht="12.75"/>
    <row r="841" ht="12.75"/>
    <row r="842" ht="12.75"/>
    <row r="843" ht="12.75"/>
    <row r="844" ht="12.75"/>
    <row r="845" ht="12.75"/>
    <row r="846" ht="12.75"/>
    <row r="847" ht="12.75"/>
    <row r="848" ht="12.75"/>
    <row r="849" ht="12.75"/>
    <row r="850" ht="12.75"/>
    <row r="851" ht="12.75"/>
    <row r="852" ht="12.75"/>
    <row r="853" ht="12.75"/>
    <row r="854" ht="12.75"/>
    <row r="855" ht="12.75"/>
    <row r="856" ht="12.75"/>
    <row r="857" ht="12.75"/>
    <row r="858" ht="12.75"/>
    <row r="859" ht="12.75"/>
    <row r="860" ht="12.75"/>
    <row r="861" ht="12.75"/>
    <row r="862" ht="12.75"/>
    <row r="863" ht="12.75"/>
    <row r="864" ht="12.75"/>
    <row r="865" ht="12.75"/>
    <row r="866" ht="12.75"/>
    <row r="867" ht="12.75"/>
    <row r="868" ht="12.75"/>
    <row r="869" ht="12.75"/>
    <row r="870" ht="12.75"/>
    <row r="871" ht="12.75"/>
    <row r="872" ht="12.75"/>
    <row r="873" ht="12.75"/>
    <row r="874" ht="12.75"/>
    <row r="875" ht="12.75"/>
    <row r="876" ht="12.75"/>
    <row r="877" ht="12.75"/>
    <row r="878" ht="12.75"/>
    <row r="879" ht="12.75"/>
    <row r="880" ht="12.75"/>
    <row r="881" ht="12.75"/>
    <row r="882" ht="12.75"/>
    <row r="883" ht="12.75"/>
    <row r="884" ht="12.75"/>
    <row r="885" ht="12.75"/>
    <row r="886" ht="12.75"/>
    <row r="887" ht="12.75"/>
    <row r="888" ht="12.75"/>
    <row r="889" ht="12.75"/>
    <row r="890" ht="12.75"/>
    <row r="891" ht="12.75"/>
    <row r="892" ht="12.75"/>
    <row r="893" ht="12.75"/>
    <row r="894" ht="12.75"/>
    <row r="895" ht="12.75"/>
    <row r="896" ht="12.75"/>
    <row r="897" ht="12.75"/>
    <row r="898" ht="12.75"/>
    <row r="899" ht="12.75"/>
    <row r="900" ht="12.75"/>
    <row r="901" ht="12.75"/>
    <row r="902" ht="12.75"/>
    <row r="903" ht="12.75"/>
    <row r="904" ht="12.75"/>
    <row r="905" ht="12.75"/>
    <row r="906" ht="12.75"/>
    <row r="907" ht="12.75"/>
    <row r="908" ht="12.75"/>
    <row r="909" ht="12.75"/>
    <row r="910" ht="12.75"/>
    <row r="911" ht="12.75"/>
    <row r="912" ht="12.75"/>
    <row r="913" ht="12.75"/>
    <row r="914" ht="12.75"/>
    <row r="915" ht="12.75"/>
    <row r="916" ht="12.75"/>
    <row r="917" ht="12.75"/>
    <row r="918" ht="12.75"/>
    <row r="919" ht="12.75"/>
    <row r="920" ht="12.75"/>
    <row r="921" ht="12.75"/>
    <row r="922" ht="12.75"/>
    <row r="923" ht="12.75"/>
    <row r="924" ht="12.75"/>
    <row r="925" ht="12.75"/>
    <row r="926" ht="12.75"/>
    <row r="927" ht="12.75"/>
    <row r="928" ht="12.75"/>
    <row r="929" ht="12.75"/>
    <row r="930" ht="12.75"/>
    <row r="931" ht="12.75"/>
    <row r="932" ht="12.75"/>
    <row r="933" ht="12.75"/>
    <row r="934" ht="12.75"/>
    <row r="935" ht="12.75"/>
    <row r="936" ht="12.75"/>
    <row r="937" ht="12.75"/>
    <row r="938" ht="12.75"/>
    <row r="939" ht="12.75"/>
    <row r="940" ht="12.75"/>
    <row r="941" ht="12.75"/>
    <row r="942" ht="12.75"/>
    <row r="943" ht="12.75"/>
    <row r="944" ht="12.75"/>
    <row r="945" ht="12.75"/>
    <row r="946" ht="12.75"/>
    <row r="947" ht="12.75"/>
    <row r="948" ht="12.75"/>
    <row r="949" ht="12.75"/>
    <row r="950" ht="12.75"/>
    <row r="951" ht="12.75"/>
    <row r="952" ht="12.75"/>
    <row r="953" ht="12.75"/>
    <row r="954" ht="12.75"/>
    <row r="955" ht="12.75"/>
    <row r="956" ht="12.75"/>
    <row r="957" ht="12.75"/>
    <row r="958" ht="12.75"/>
    <row r="959" ht="12.75"/>
    <row r="960" ht="12.75"/>
    <row r="961" ht="12.75"/>
    <row r="962" ht="12.75"/>
    <row r="963" ht="12.75"/>
    <row r="964" ht="12.75"/>
    <row r="965" ht="12.75"/>
    <row r="966" ht="12.75"/>
    <row r="967" ht="12.75"/>
    <row r="968" ht="12.75"/>
    <row r="969" ht="12.75"/>
    <row r="970" ht="12.75"/>
    <row r="971" ht="12.75"/>
    <row r="972" ht="12.75"/>
    <row r="973" ht="12.75"/>
    <row r="974" ht="12.75"/>
    <row r="975" ht="12.75"/>
    <row r="976" ht="12.75"/>
    <row r="977" ht="12.75"/>
    <row r="978" ht="12.75"/>
    <row r="979" ht="12.75"/>
    <row r="980" ht="12.75"/>
    <row r="981" ht="12.75"/>
    <row r="982" ht="12.75"/>
    <row r="983" ht="12.75"/>
    <row r="984" ht="12.75"/>
    <row r="985" ht="12.75"/>
    <row r="986" ht="12.75"/>
    <row r="987" ht="12.75"/>
    <row r="988" ht="12.75"/>
    <row r="989" ht="12.75"/>
    <row r="990" ht="12.75"/>
    <row r="991" ht="12.75"/>
    <row r="992" ht="12.75"/>
    <row r="993" ht="12.75"/>
    <row r="994" ht="12.75"/>
    <row r="995" ht="12.75"/>
    <row r="996" ht="12.75"/>
    <row r="997" ht="12.75"/>
    <row r="998" ht="12.75"/>
    <row r="999" ht="12.75"/>
    <row r="1000" ht="12.75"/>
    <row r="1001" ht="12.75"/>
    <row r="1002" ht="12.75"/>
    <row r="1003" ht="12.75"/>
    <row r="1004" ht="12.75"/>
    <row r="1005" ht="12.75"/>
    <row r="1006" ht="12.75"/>
    <row r="1007" ht="12.75"/>
    <row r="1008" ht="12.75"/>
    <row r="1009" ht="12.75"/>
    <row r="1010" ht="12.75"/>
    <row r="1011" ht="12.75"/>
    <row r="1012" ht="12.75"/>
    <row r="1013" ht="12.75"/>
    <row r="1014" ht="12.75"/>
    <row r="1015" ht="12.75"/>
    <row r="1016" ht="12.75"/>
    <row r="1017" ht="12.75"/>
    <row r="1018" ht="12.75"/>
    <row r="1019" ht="12.75"/>
    <row r="1020" ht="12.75"/>
    <row r="1021" ht="12.75"/>
    <row r="1022" ht="12.75"/>
    <row r="1023" ht="12.75"/>
    <row r="1024" ht="12.75"/>
    <row r="1025" ht="12.75"/>
    <row r="1026" ht="12.75"/>
    <row r="1027" ht="12.75"/>
    <row r="1028" ht="12.75"/>
    <row r="1029" ht="12.75"/>
    <row r="1030" ht="12.75"/>
    <row r="1031" ht="12.75"/>
    <row r="1032" ht="12.75"/>
    <row r="1033" ht="12.75"/>
    <row r="1034" ht="12.75"/>
    <row r="1035" ht="12.75"/>
    <row r="1036" ht="12.75"/>
    <row r="1037" ht="12.75"/>
    <row r="1038" ht="12.75"/>
    <row r="1039" ht="12.75"/>
    <row r="1040" ht="12.75"/>
    <row r="1041" ht="12.75"/>
    <row r="1042" ht="12.75"/>
    <row r="1043" ht="12.75"/>
    <row r="1044" ht="12.75"/>
    <row r="1045" ht="12.75"/>
    <row r="1046" ht="12.75"/>
    <row r="1047" ht="12.75"/>
    <row r="1048" ht="12.75"/>
    <row r="1049" ht="12.75"/>
    <row r="1050" ht="12.75"/>
    <row r="1051" ht="12.75"/>
    <row r="1052" ht="12.75"/>
    <row r="1053" ht="12.75"/>
    <row r="1054" ht="12.75"/>
    <row r="1055" ht="12.75"/>
    <row r="1056" ht="12.75"/>
    <row r="1057" ht="12.75"/>
    <row r="1058" ht="12.75"/>
    <row r="1059" ht="12.75"/>
    <row r="1060" ht="12.75"/>
    <row r="1061" ht="12.75"/>
    <row r="1062" ht="12.75"/>
    <row r="1063" ht="12.75"/>
    <row r="1064" ht="12.75"/>
    <row r="1065" ht="12.75"/>
    <row r="1066" ht="12.75"/>
    <row r="1067" ht="12.75"/>
    <row r="1068" ht="12.75"/>
    <row r="1069" ht="12.75"/>
    <row r="1070" ht="12.75"/>
    <row r="1071" ht="12.75"/>
    <row r="1072" ht="12.75"/>
    <row r="1073" ht="12.75"/>
    <row r="1074" ht="12.75"/>
    <row r="1075" ht="12.75"/>
    <row r="1076" ht="12.75"/>
    <row r="1077" ht="12.75"/>
    <row r="1078" ht="12.75"/>
    <row r="1079" ht="12.75"/>
    <row r="1080" ht="12.75"/>
    <row r="1081" ht="12.75"/>
    <row r="1082" ht="12.75"/>
    <row r="1083" ht="12.75"/>
    <row r="1084" ht="12.75"/>
    <row r="1085" ht="12.75"/>
    <row r="1086" ht="12.75"/>
    <row r="1087" ht="12.75"/>
    <row r="1088" ht="12.75"/>
    <row r="1089" ht="12.75"/>
    <row r="1090" ht="12.75"/>
    <row r="1091" ht="12.75"/>
    <row r="1092" ht="12.75"/>
    <row r="1093" ht="12.75"/>
    <row r="1094" ht="12.75"/>
    <row r="1095" ht="12.75"/>
    <row r="1096" ht="12.75"/>
    <row r="1097" ht="12.75"/>
    <row r="1098" ht="12.75"/>
    <row r="1099" ht="12.75"/>
    <row r="1100" ht="12.75"/>
    <row r="1101" ht="12.75"/>
    <row r="1102" ht="12.75"/>
    <row r="1103" ht="12.75"/>
    <row r="1104" ht="12.75"/>
    <row r="1105" ht="12.75"/>
    <row r="1106" ht="12.75"/>
    <row r="1107" ht="12.75"/>
    <row r="1108" ht="12.75"/>
    <row r="1109" ht="12.75"/>
    <row r="1110" ht="12.75"/>
    <row r="1111" ht="12.75"/>
    <row r="1112" ht="12.75"/>
    <row r="1113" ht="12.75"/>
    <row r="1114" ht="12.75"/>
    <row r="1115" ht="12.75"/>
    <row r="1116" ht="12.75"/>
    <row r="1117" ht="12.75"/>
    <row r="1118" ht="12.75"/>
    <row r="1119" ht="12.75"/>
    <row r="1120" ht="12.75"/>
    <row r="1121" ht="12.75"/>
    <row r="1122" ht="12.75"/>
    <row r="1123" ht="12.75"/>
    <row r="1124" ht="12.75"/>
    <row r="1125" ht="12.75"/>
    <row r="1126" ht="12.75"/>
    <row r="1127" ht="12.75"/>
    <row r="1128" ht="12.75"/>
    <row r="1129" ht="12.75"/>
    <row r="1130" ht="12.75"/>
    <row r="1131" ht="12.75"/>
    <row r="1132" ht="12.75"/>
    <row r="1133" ht="12.75"/>
    <row r="1134" ht="12.75"/>
    <row r="1135" ht="12.75"/>
    <row r="1136" ht="12.75"/>
    <row r="1137" ht="12.75"/>
    <row r="1138" ht="12.75"/>
    <row r="1139" ht="12.75"/>
    <row r="1140" ht="12.75"/>
    <row r="1141" ht="12.75"/>
    <row r="1142" ht="12.75"/>
    <row r="1143" ht="12.75"/>
    <row r="1144" ht="12.75"/>
    <row r="1145" ht="12.75"/>
    <row r="1146" ht="12.75"/>
    <row r="1147" ht="12.75"/>
    <row r="1148" ht="12.75"/>
    <row r="1149" ht="12.75"/>
    <row r="1150" ht="12.75"/>
    <row r="1151" ht="12.75"/>
    <row r="1152" ht="12.75"/>
    <row r="1153" ht="12.75"/>
    <row r="1154" ht="12.75"/>
    <row r="1155" ht="12.75"/>
    <row r="1156" ht="12.75"/>
    <row r="1157" ht="12.75"/>
    <row r="1158" ht="12.75"/>
    <row r="1159" ht="12.75"/>
    <row r="1160" ht="12.75"/>
    <row r="1161" ht="12.75"/>
    <row r="1162" ht="12.75"/>
    <row r="1163" ht="12.75"/>
    <row r="1164" ht="12.75"/>
    <row r="1165" ht="12.75"/>
    <row r="1166" ht="12.75"/>
    <row r="1167" ht="12.75"/>
    <row r="1168" ht="12.75"/>
    <row r="1169" ht="12.75"/>
    <row r="1170" ht="12.75"/>
    <row r="1171" ht="12.75"/>
    <row r="1172" ht="12.75"/>
    <row r="1173" ht="12.75"/>
    <row r="1174" ht="12.75"/>
    <row r="1175" ht="12.75"/>
    <row r="1176" ht="12.75"/>
    <row r="1177" ht="12.75"/>
    <row r="1178" ht="12.75"/>
    <row r="1179" ht="12.75"/>
    <row r="1180" ht="12.75"/>
    <row r="1181" ht="12.75"/>
    <row r="1182" ht="12.75"/>
    <row r="1183" ht="12.75"/>
    <row r="1184" ht="12.75"/>
    <row r="1185" ht="12.75"/>
    <row r="1186" ht="12.75"/>
    <row r="1187" ht="12.75"/>
    <row r="1188" ht="12.75"/>
    <row r="1189" ht="12.75"/>
    <row r="1190" ht="12.75"/>
    <row r="1191" ht="12.75"/>
    <row r="1192" ht="12.75"/>
    <row r="1193" ht="12.75"/>
    <row r="1194" ht="12.75"/>
    <row r="1195" ht="12.75"/>
    <row r="1196" ht="12.75"/>
    <row r="1197" ht="12.75"/>
    <row r="1198" ht="12.75"/>
    <row r="1199" ht="12.75"/>
    <row r="1200" ht="12.75"/>
    <row r="1201" ht="12.75"/>
    <row r="1202" ht="12.75"/>
    <row r="1203" ht="12.75"/>
    <row r="1204" ht="12.75"/>
    <row r="1205" ht="12.75"/>
    <row r="1206" ht="12.75"/>
    <row r="1207" ht="12.75"/>
    <row r="1208" ht="12.75"/>
    <row r="1209" ht="12.75"/>
    <row r="1210" ht="12.75"/>
    <row r="1211" ht="12.75"/>
    <row r="1212" ht="12.75"/>
    <row r="1213" ht="12.75"/>
    <row r="1214" ht="12.75"/>
    <row r="1215" ht="12.75"/>
    <row r="1216" ht="12.75"/>
    <row r="1217" ht="12.75"/>
    <row r="1218" ht="12.75"/>
    <row r="1219" ht="12.75"/>
    <row r="1220" ht="12.75"/>
    <row r="1221" ht="12.75"/>
    <row r="1222" ht="12.75"/>
    <row r="1223" ht="12.75"/>
    <row r="1224" ht="12.75"/>
    <row r="1225" ht="12.75"/>
    <row r="1226" ht="12.75"/>
    <row r="1227" ht="12.75"/>
    <row r="1228" ht="12.75"/>
    <row r="1229" ht="12.75"/>
    <row r="1230" ht="12.75"/>
    <row r="1231" ht="12.75"/>
    <row r="1232" ht="12.75"/>
    <row r="1233" ht="12.75"/>
    <row r="1234" ht="12.75"/>
    <row r="1235" ht="12.75"/>
    <row r="1236" ht="12.75"/>
    <row r="1237" ht="12.75"/>
    <row r="1238" ht="12.75"/>
    <row r="1239" ht="12.75"/>
    <row r="1240" ht="12.75"/>
    <row r="1241" ht="12.75"/>
    <row r="1242" ht="12.75"/>
    <row r="1243" ht="12.75"/>
    <row r="1244" ht="12.75"/>
    <row r="1245" ht="12.75"/>
    <row r="1246" ht="12.75"/>
    <row r="1247" ht="12.75"/>
    <row r="1248" ht="12.75"/>
    <row r="1249" ht="12.75"/>
    <row r="1250" ht="12.75"/>
    <row r="1251" ht="12.75"/>
    <row r="1252" ht="12.75"/>
    <row r="1253" ht="12.75"/>
    <row r="1254" ht="12.75"/>
    <row r="1255" ht="12.75"/>
    <row r="1256" ht="12.75"/>
    <row r="1257" ht="12.75"/>
    <row r="1258" ht="12.75"/>
    <row r="1259" ht="12.75"/>
    <row r="1260" ht="12.75"/>
    <row r="1261" ht="12.75"/>
    <row r="1262" ht="12.75"/>
    <row r="1263" ht="12.75"/>
    <row r="1264" ht="12.75"/>
    <row r="1265" ht="12.75"/>
    <row r="1266" ht="12.75"/>
    <row r="1267" ht="12.75"/>
    <row r="1268" ht="12.75"/>
    <row r="1269" ht="12.75"/>
    <row r="1270" ht="12.75"/>
    <row r="1271" ht="12.75"/>
    <row r="1272" ht="12.75"/>
    <row r="1273" ht="12.75"/>
    <row r="1274" ht="12.75"/>
    <row r="1275" ht="12.75"/>
    <row r="1276" ht="12.75"/>
    <row r="1277" ht="12.75"/>
    <row r="1278" ht="12.75"/>
    <row r="1279" ht="12.75"/>
    <row r="1280" ht="12.75"/>
    <row r="1281" ht="12.75"/>
    <row r="1282" ht="12.75"/>
    <row r="1283" ht="12.75"/>
    <row r="1284" ht="12.75"/>
    <row r="1285" ht="12.75"/>
    <row r="1286" ht="12.75"/>
    <row r="1287" ht="12.75"/>
    <row r="1288" ht="12.75"/>
    <row r="1289" ht="12.75"/>
    <row r="1290" ht="12.75"/>
    <row r="1291" ht="12.75"/>
    <row r="1292" ht="12.75"/>
    <row r="1293" ht="12.75"/>
    <row r="1294" ht="12.75"/>
    <row r="1295" ht="12.75"/>
    <row r="1296" ht="12.75"/>
    <row r="1297" ht="12.75"/>
    <row r="1298" ht="12.75"/>
    <row r="1299" ht="12.75"/>
    <row r="1300" ht="12.75"/>
    <row r="1301" ht="12.75"/>
    <row r="1302" ht="12.75"/>
  </sheetData>
  <sheetProtection autoFilter="0"/>
  <mergeCells count="9">
    <mergeCell ref="L1:Y1"/>
    <mergeCell ref="A41:D41"/>
    <mergeCell ref="E41:G41"/>
    <mergeCell ref="E3:G3"/>
    <mergeCell ref="T3:V3"/>
    <mergeCell ref="W3:Y3"/>
    <mergeCell ref="H3:I3"/>
    <mergeCell ref="J3:S3"/>
    <mergeCell ref="A3:D3"/>
  </mergeCells>
  <dataValidations count="4">
    <dataValidation type="whole" allowBlank="1" showInputMessage="1" showErrorMessage="1" errorTitle="CUIDADO...." error="No escriba letras, debe escribir el número 1 y automáticamente se convertirá en la X." sqref="C5:D40">
      <formula1>1</formula1>
      <formula2>1</formula2>
    </dataValidation>
    <dataValidation type="whole" allowBlank="1" showInputMessage="1" showErrorMessage="1" errorTitle="CUIDADO..." error="Solo se permiten valores de números enteros entre 1 y 40.000.000.&#10;&#10;CANOBO - 2007" sqref="H5:H40">
      <formula1>1</formula1>
      <formula2>40000000</formula2>
    </dataValidation>
    <dataValidation type="whole" allowBlank="1" showInputMessage="1" showErrorMessage="1" errorTitle="CUIDADO...." error="Solo se permiten valores de números enteros entre 1 y 3.000.000.&#10;&#10;CANOBO - 2007" sqref="I5:I40">
      <formula1>0</formula1>
      <formula2>3000000</formula2>
    </dataValidation>
    <dataValidation type="list" allowBlank="1" showInputMessage="1" showErrorMessage="1" errorTitle="LO LAMENTO..." error="Debe escribir un fondo válido o seleccionar uno de la lista desplegable que se muestra. Si no está disponible, verifique en la hoja de infromación general en la columna de Pension y adiciónelo.&#10;&#10;CANOBO - 2007" sqref="F40">
      <formula1>$AB$2:$AB$13</formula1>
    </dataValidation>
  </dataValidations>
  <printOptions horizontalCentered="1"/>
  <pageMargins left="0.7874015748031497" right="0.7874015748031497" top="0.5905511811023623" bottom="0.3937007874015748" header="0.3937007874015748" footer="0.1968503937007874"/>
  <pageSetup blackAndWhite="1" horizontalDpi="360" verticalDpi="360" orientation="landscape" scale="82" r:id="rId3"/>
  <headerFooter alignWithMargins="0">
    <oddFooter>&amp;C&amp;A  -  Página &amp;P</oddFooter>
  </headerFooter>
  <legacyDrawing r:id="rId2"/>
</worksheet>
</file>

<file path=xl/worksheets/sheet4.xml><?xml version="1.0" encoding="utf-8"?>
<worksheet xmlns="http://schemas.openxmlformats.org/spreadsheetml/2006/main" xmlns:r="http://schemas.openxmlformats.org/officeDocument/2006/relationships">
  <sheetPr codeName="Hoja3"/>
  <dimension ref="A2:K56"/>
  <sheetViews>
    <sheetView zoomScale="80" zoomScaleNormal="80" zoomScaleSheetLayoutView="90" zoomScalePageLayoutView="0" workbookViewId="0" topLeftCell="A25">
      <selection activeCell="I39" sqref="I39"/>
    </sheetView>
  </sheetViews>
  <sheetFormatPr defaultColWidth="0" defaultRowHeight="12.75" zeroHeight="1"/>
  <cols>
    <col min="1" max="1" width="21.00390625" style="0" customWidth="1"/>
    <col min="2" max="2" width="16.421875" style="0" customWidth="1"/>
    <col min="3" max="3" width="13.421875" style="0" customWidth="1"/>
    <col min="4" max="4" width="17.28125" style="0" customWidth="1"/>
    <col min="5" max="5" width="4.28125" style="0" customWidth="1"/>
    <col min="6" max="6" width="27.00390625" style="0" customWidth="1"/>
    <col min="7" max="7" width="17.00390625" style="0" customWidth="1"/>
    <col min="8" max="8" width="19.00390625" style="0" customWidth="1"/>
    <col min="9" max="9" width="17.57421875" style="0" customWidth="1"/>
    <col min="10" max="10" width="16.28125" style="0" customWidth="1"/>
    <col min="11" max="11" width="15.140625" style="0" customWidth="1"/>
    <col min="12" max="12" width="15.140625" style="0" hidden="1" customWidth="1"/>
    <col min="13" max="13" width="11.7109375" style="0" hidden="1" customWidth="1"/>
    <col min="14" max="16384" width="0" style="0" hidden="1" customWidth="1"/>
  </cols>
  <sheetData>
    <row r="1" ht="6.75" customHeight="1"/>
    <row r="2" ht="15.75">
      <c r="A2" s="31" t="str">
        <f>+CONCATENATE("CUADRO DE CALCULOS PARA LA SEGURIDAD SOCIAL (APORTES PATRONALES) PARA EL AÑO ",'Información general'!C5)</f>
        <v>CUADRO DE CALCULOS PARA LA SEGURIDAD SOCIAL (APORTES PATRONALES) PARA EL AÑO 2021</v>
      </c>
    </row>
    <row r="3" ht="6.75" customHeight="1" thickBot="1"/>
    <row r="4" spans="1:9" ht="16.5" thickBot="1">
      <c r="A4" s="684" t="str">
        <f>+'Información general'!A56</f>
        <v>SALUD</v>
      </c>
      <c r="B4" s="685"/>
      <c r="C4" s="685"/>
      <c r="D4" s="686"/>
      <c r="F4" s="684" t="str">
        <f>+'Información general'!B56</f>
        <v>PENSION</v>
      </c>
      <c r="G4" s="685"/>
      <c r="H4" s="685"/>
      <c r="I4" s="686"/>
    </row>
    <row r="5" spans="1:9" ht="13.5" thickBot="1">
      <c r="A5" s="42" t="s">
        <v>184</v>
      </c>
      <c r="B5" s="43" t="s">
        <v>209</v>
      </c>
      <c r="C5" s="43" t="s">
        <v>210</v>
      </c>
      <c r="D5" s="44" t="s">
        <v>2</v>
      </c>
      <c r="F5" s="29" t="s">
        <v>208</v>
      </c>
      <c r="G5" s="28" t="s">
        <v>209</v>
      </c>
      <c r="H5" s="28" t="s">
        <v>210</v>
      </c>
      <c r="I5" s="21" t="s">
        <v>2</v>
      </c>
    </row>
    <row r="6" spans="1:9" ht="12.75">
      <c r="A6" s="48" t="str">
        <f>IF('Información general'!A57="","",'Información general'!A57)</f>
        <v>COOMEVA</v>
      </c>
      <c r="B6" s="33">
        <f>ROUND((_xlfn.SUMIFS(EPS_aportes,Administrativos,1,'Datos seguridad social'!$E$5:$E$40,'Cálculos seguridad social'!A6)*12),0)</f>
        <v>6055704</v>
      </c>
      <c r="C6" s="33">
        <f>ROUND((_xlfn.SUMIFS(EPS_aportes,Asistenciales,1,'Datos seguridad social'!$E$5:$E$40,'Cálculos seguridad social'!A6)*12),0)</f>
        <v>6898980</v>
      </c>
      <c r="D6" s="34">
        <f aca="true" t="shared" si="0" ref="D6:D17">+C6+B6</f>
        <v>12954684</v>
      </c>
      <c r="F6" s="48" t="str">
        <f>IF('Información general'!B57="","",'Información general'!B57)</f>
        <v>COLFONDOS</v>
      </c>
      <c r="G6" s="33">
        <f>ROUND((_xlfn.SUMIFS(PENSION_aportes,Administrativos,1,'Datos seguridad social'!$F$5:$F$40,'Cálculos seguridad social'!F6)*12),0)</f>
        <v>0</v>
      </c>
      <c r="H6" s="33">
        <f>ROUND((_xlfn.SUMIFS(PENSION_aportes,Asistenciales,1,'Datos seguridad social'!$F$5:$F$40,'Cálculos seguridad social'!F6)*12),0)</f>
        <v>0</v>
      </c>
      <c r="I6" s="34">
        <f aca="true" t="shared" si="1" ref="I6:I17">+H6+G6</f>
        <v>0</v>
      </c>
    </row>
    <row r="7" spans="1:9" ht="12.75">
      <c r="A7" s="49" t="str">
        <f>IF('Información general'!A58="","",'Información general'!A58)</f>
        <v>NUEVA EPS</v>
      </c>
      <c r="B7" s="33">
        <f>ROUND((_xlfn.SUMIFS(EPS_aportes,Administrativos,1,'Datos seguridad social'!$E$5:$E$40,'Cálculos seguridad social'!A7)*12),0)</f>
        <v>13524576</v>
      </c>
      <c r="C7" s="33">
        <f>ROUND((_xlfn.SUMIFS(EPS_aportes,Asistenciales,1,'Datos seguridad social'!$E$5:$E$40,'Cálculos seguridad social'!A7)*12),0)</f>
        <v>10792560</v>
      </c>
      <c r="D7" s="37">
        <f t="shared" si="0"/>
        <v>24317136</v>
      </c>
      <c r="F7" s="49" t="str">
        <f>IF('Información general'!B58="","",'Información general'!B58)</f>
        <v>COLPENSIONES</v>
      </c>
      <c r="G7" s="33">
        <f>ROUND((_xlfn.SUMIFS(PENSION_aportes,Administrativos,1,'Datos seguridad social'!$F$5:$F$40,'Cálculos seguridad social'!F7)*12),0)</f>
        <v>60491028</v>
      </c>
      <c r="H7" s="33">
        <f>ROUND((_xlfn.SUMIFS(PENSION_aportes,Asistenciales,1,'Datos seguridad social'!$F$5:$F$40,'Cálculos seguridad social'!F7)*12),0)</f>
        <v>114887100</v>
      </c>
      <c r="I7" s="37">
        <f t="shared" si="1"/>
        <v>175378128</v>
      </c>
    </row>
    <row r="8" spans="1:9" ht="12.75">
      <c r="A8" s="49" t="str">
        <f>IF('Información general'!A59="","",'Información general'!A59)</f>
        <v>SALUD TOTAL</v>
      </c>
      <c r="B8" s="33">
        <f>ROUND((_xlfn.SUMIFS(EPS_aportes,Administrativos,1,'Datos seguridad social'!$E$5:$E$40,'Cálculos seguridad social'!A8)*12),0)</f>
        <v>2295996</v>
      </c>
      <c r="C8" s="33">
        <f>ROUND((_xlfn.SUMIFS(EPS_aportes,Asistenciales,1,'Datos seguridad social'!$E$5:$E$40,'Cálculos seguridad social'!A8)*12),0)</f>
        <v>2195472</v>
      </c>
      <c r="D8" s="37">
        <f t="shared" si="0"/>
        <v>4491468</v>
      </c>
      <c r="F8" s="49" t="str">
        <f>IF('Información general'!B59="","",'Información general'!B59)</f>
        <v>PROTECCION</v>
      </c>
      <c r="G8" s="33">
        <f>ROUND((_xlfn.SUMIFS(PENSION_aportes,Administrativos,1,'Datos seguridad social'!$F$5:$F$40,'Cálculos seguridad social'!F8)*12),0)</f>
        <v>2709804</v>
      </c>
      <c r="H8" s="33">
        <f>ROUND((_xlfn.SUMIFS(PENSION_aportes,Asistenciales,1,'Datos seguridad social'!$F$5:$F$40,'Cálculos seguridad social'!F8)*12),0)</f>
        <v>21955464</v>
      </c>
      <c r="I8" s="37">
        <f t="shared" si="1"/>
        <v>24665268</v>
      </c>
    </row>
    <row r="9" spans="1:9" ht="12.75">
      <c r="A9" s="49" t="str">
        <f>IF('Información general'!A60="","",'Información general'!A60)</f>
        <v>SURA EPS</v>
      </c>
      <c r="B9" s="33">
        <f>ROUND((_xlfn.SUMIFS(EPS_aportes,Administrativos,1,'Datos seguridad social'!$E$5:$E$40,'Cálculos seguridad social'!A9)*12),0)</f>
        <v>31142160</v>
      </c>
      <c r="C9" s="33">
        <f>ROUND((_xlfn.SUMIFS(EPS_aportes,Asistenciales,1,'Datos seguridad social'!$E$5:$E$40,'Cálculos seguridad social'!A9)*12),0)</f>
        <v>69620940</v>
      </c>
      <c r="D9" s="37">
        <f t="shared" si="0"/>
        <v>100763100</v>
      </c>
      <c r="F9" s="49" t="str">
        <f>IF('Información general'!B60="","",'Información general'!B60)</f>
        <v>PORVENIR</v>
      </c>
      <c r="G9" s="33">
        <f>ROUND((_xlfn.SUMIFS(PENSION_aportes,Administrativos,1,'Datos seguridad social'!$F$5:$F$40,'Cálculos seguridad social'!F9)*12),0)</f>
        <v>11648724</v>
      </c>
      <c r="H9" s="33">
        <f>ROUND((_xlfn.SUMIFS(PENSION_aportes,Asistenciales,1,'Datos seguridad social'!$F$5:$F$40,'Cálculos seguridad social'!F9)*12),0)</f>
        <v>19066260</v>
      </c>
      <c r="I9" s="37">
        <f t="shared" si="1"/>
        <v>30714984</v>
      </c>
    </row>
    <row r="10" spans="1:9" ht="12.75">
      <c r="A10" s="49" t="str">
        <f>IF('Información general'!A61="","",'Información general'!A61)</f>
        <v>CRUZ BLANCA</v>
      </c>
      <c r="B10" s="33">
        <f>ROUND((_xlfn.SUMIFS(EPS_aportes,Administrativos,1,'Datos seguridad social'!$E$5:$E$40,'Cálculos seguridad social'!A10)*12),0)</f>
        <v>0</v>
      </c>
      <c r="C10" s="33">
        <f>ROUND((_xlfn.SUMIFS(EPS_aportes,Asistenciales,1,'Datos seguridad social'!$E$5:$E$40,'Cálculos seguridad social'!A10)*12),0)</f>
        <v>0</v>
      </c>
      <c r="D10" s="37">
        <f t="shared" si="0"/>
        <v>0</v>
      </c>
      <c r="F10" s="49">
        <f>IF('Información general'!B61="","",'Información general'!B61)</f>
      </c>
      <c r="G10" s="33">
        <f>ROUND((_xlfn.SUMIFS(PENSION_aportes,Administrativos,1,'Datos seguridad social'!$F$5:$F$40,'Cálculos seguridad social'!F10)*12),0)</f>
        <v>0</v>
      </c>
      <c r="H10" s="33">
        <f>ROUND((_xlfn.SUMIFS(PENSION_aportes,Asistenciales,1,'Datos seguridad social'!$F$5:$F$40,'Cálculos seguridad social'!F10)*12),0)</f>
        <v>0</v>
      </c>
      <c r="I10" s="37">
        <f t="shared" si="1"/>
        <v>0</v>
      </c>
    </row>
    <row r="11" spans="1:9" ht="12.75">
      <c r="A11" s="49" t="str">
        <f>IF('Información general'!A62="","",'Información general'!A62)</f>
        <v>MEDIMAS</v>
      </c>
      <c r="B11" s="33">
        <f>ROUND((_xlfn.SUMIFS(EPS_aportes,Administrativos,1,'Datos seguridad social'!$E$5:$E$40,'Cálculos seguridad social'!A11)*12),0)</f>
        <v>0</v>
      </c>
      <c r="C11" s="33">
        <f>ROUND((_xlfn.SUMIFS(EPS_aportes,Asistenciales,1,'Datos seguridad social'!$E$5:$E$40,'Cálculos seguridad social'!A11)*12),0)</f>
        <v>0</v>
      </c>
      <c r="D11" s="37">
        <f t="shared" si="0"/>
        <v>0</v>
      </c>
      <c r="F11" s="49" t="str">
        <f>IF('Información general'!B62="","",'Información general'!B62)</f>
        <v> </v>
      </c>
      <c r="G11" s="33">
        <f>ROUND((_xlfn.SUMIFS(PENSION_aportes,Administrativos,1,'Datos seguridad social'!$F$5:$F$40,'Cálculos seguridad social'!F11)*12),0)</f>
        <v>0</v>
      </c>
      <c r="H11" s="33">
        <f>ROUND((_xlfn.SUMIFS(PENSION_aportes,Asistenciales,1,'Datos seguridad social'!$F$5:$F$40,'Cálculos seguridad social'!F11)*12),0)</f>
        <v>0</v>
      </c>
      <c r="I11" s="37">
        <f t="shared" si="1"/>
        <v>0</v>
      </c>
    </row>
    <row r="12" spans="1:9" ht="12.75">
      <c r="A12" s="49" t="str">
        <f>IF('Información general'!A63="","",'Información general'!A63)</f>
        <v>SANITAS</v>
      </c>
      <c r="B12" s="33">
        <f>ROUND((_xlfn.SUMIFS(EPS_aportes,Administrativos,1,'Datos seguridad social'!$E$5:$E$40,'Cálculos seguridad social'!A12)*12),0)</f>
        <v>0</v>
      </c>
      <c r="C12" s="33">
        <f>ROUND((_xlfn.SUMIFS(EPS_aportes,Asistenciales,1,'Datos seguridad social'!$E$5:$E$40,'Cálculos seguridad social'!A12)*12),0)</f>
        <v>20927472</v>
      </c>
      <c r="D12" s="37">
        <f t="shared" si="0"/>
        <v>20927472</v>
      </c>
      <c r="F12" s="49" t="str">
        <f>IF('Información general'!B63="","",'Información general'!B63)</f>
        <v> </v>
      </c>
      <c r="G12" s="33">
        <f>ROUND((_xlfn.SUMIFS(PENSION_aportes,Administrativos,1,'Datos seguridad social'!$F$5:$F$40,'Cálculos seguridad social'!F12)*12),0)</f>
        <v>0</v>
      </c>
      <c r="H12" s="33">
        <f>ROUND((_xlfn.SUMIFS(PENSION_aportes,Asistenciales,1,'Datos seguridad social'!$F$5:$F$40,'Cálculos seguridad social'!F12)*12),0)</f>
        <v>0</v>
      </c>
      <c r="I12" s="37">
        <f t="shared" si="1"/>
        <v>0</v>
      </c>
    </row>
    <row r="13" spans="1:9" ht="12.75">
      <c r="A13" s="49" t="str">
        <f>IF('Información general'!A64="","",'Información general'!A64)</f>
        <v> </v>
      </c>
      <c r="B13" s="33">
        <f>ROUND((_xlfn.SUMIFS(EPS_aportes,Administrativos,1,'Datos seguridad social'!$E$5:$E$40,'Cálculos seguridad social'!A13)*12),0)</f>
        <v>0</v>
      </c>
      <c r="C13" s="33">
        <f>ROUND((_xlfn.SUMIFS(EPS_aportes,Asistenciales,1,'Datos seguridad social'!$E$5:$E$40,'Cálculos seguridad social'!A13)*12),0)</f>
        <v>0</v>
      </c>
      <c r="D13" s="37">
        <f t="shared" si="0"/>
        <v>0</v>
      </c>
      <c r="F13" s="49" t="str">
        <f>IF('Información general'!B64="","",'Información general'!B64)</f>
        <v> </v>
      </c>
      <c r="G13" s="33">
        <f>ROUND((_xlfn.SUMIFS(PENSION_aportes,Administrativos,1,'Datos seguridad social'!$F$5:$F$40,'Cálculos seguridad social'!F13)*12),0)</f>
        <v>0</v>
      </c>
      <c r="H13" s="33">
        <f>ROUND((_xlfn.SUMIFS(PENSION_aportes,Asistenciales,1,'Datos seguridad social'!$F$5:$F$40,'Cálculos seguridad social'!F13)*12),0)</f>
        <v>0</v>
      </c>
      <c r="I13" s="37">
        <f t="shared" si="1"/>
        <v>0</v>
      </c>
    </row>
    <row r="14" spans="1:9" ht="12.75">
      <c r="A14" s="49" t="str">
        <f>IF('Información general'!A65="","",'Información general'!A65)</f>
        <v> </v>
      </c>
      <c r="B14" s="33">
        <f>ROUND((_xlfn.SUMIFS(EPS_aportes,Administrativos,1,'Datos seguridad social'!$E$5:$E$40,'Cálculos seguridad social'!A14)*12),0)</f>
        <v>0</v>
      </c>
      <c r="C14" s="33">
        <f>ROUND((_xlfn.SUMIFS(EPS_aportes,Asistenciales,1,'Datos seguridad social'!$E$5:$E$40,'Cálculos seguridad social'!A14)*12),0)</f>
        <v>0</v>
      </c>
      <c r="D14" s="37">
        <f t="shared" si="0"/>
        <v>0</v>
      </c>
      <c r="F14" s="49" t="str">
        <f>IF('Información general'!B65="","",'Información general'!B65)</f>
        <v> </v>
      </c>
      <c r="G14" s="33">
        <f>ROUND((_xlfn.SUMIFS(PENSION_aportes,Administrativos,1,'Datos seguridad social'!$F$5:$F$40,'Cálculos seguridad social'!F14)*12),0)</f>
        <v>0</v>
      </c>
      <c r="H14" s="33">
        <f>ROUND((_xlfn.SUMIFS(PENSION_aportes,Asistenciales,1,'Datos seguridad social'!$F$5:$F$40,'Cálculos seguridad social'!F14)*12),0)</f>
        <v>0</v>
      </c>
      <c r="I14" s="37">
        <f t="shared" si="1"/>
        <v>0</v>
      </c>
    </row>
    <row r="15" spans="1:9" ht="12.75">
      <c r="A15" s="49" t="str">
        <f>IF('Información general'!A66="","",'Información general'!A66)</f>
        <v> </v>
      </c>
      <c r="B15" s="33">
        <f>ROUND((_xlfn.SUMIFS(EPS_aportes,Administrativos,1,'Datos seguridad social'!$E$5:$E$40,'Cálculos seguridad social'!A15)*12),0)</f>
        <v>0</v>
      </c>
      <c r="C15" s="33">
        <f>ROUND((_xlfn.SUMIFS(EPS_aportes,Asistenciales,1,'Datos seguridad social'!$E$5:$E$40,'Cálculos seguridad social'!A15)*12),0)</f>
        <v>0</v>
      </c>
      <c r="D15" s="37">
        <f t="shared" si="0"/>
        <v>0</v>
      </c>
      <c r="F15" s="49" t="str">
        <f>IF('Información general'!B66="","",'Información general'!B66)</f>
        <v> </v>
      </c>
      <c r="G15" s="33">
        <f>ROUND((_xlfn.SUMIFS(PENSION_aportes,Administrativos,1,'Datos seguridad social'!$F$5:$F$40,'Cálculos seguridad social'!F15)*12),0)</f>
        <v>0</v>
      </c>
      <c r="H15" s="33">
        <f>ROUND((_xlfn.SUMIFS(PENSION_aportes,Asistenciales,1,'Datos seguridad social'!$F$5:$F$40,'Cálculos seguridad social'!F15)*12),0)</f>
        <v>0</v>
      </c>
      <c r="I15" s="37">
        <f t="shared" si="1"/>
        <v>0</v>
      </c>
    </row>
    <row r="16" spans="1:9" ht="12.75">
      <c r="A16" s="49" t="str">
        <f>IF('Información general'!A67="","",'Información general'!A67)</f>
        <v> </v>
      </c>
      <c r="B16" s="33">
        <f>ROUND((_xlfn.SUMIFS(EPS_aportes,Administrativos,1,'Datos seguridad social'!$E$5:$E$40,'Cálculos seguridad social'!A16)*12),0)</f>
        <v>0</v>
      </c>
      <c r="C16" s="33">
        <f>ROUND((_xlfn.SUMIFS(EPS_aportes,Asistenciales,1,'Datos seguridad social'!$E$5:$E$40,'Cálculos seguridad social'!A16)*12),0)</f>
        <v>0</v>
      </c>
      <c r="D16" s="37">
        <f t="shared" si="0"/>
        <v>0</v>
      </c>
      <c r="F16" s="49" t="str">
        <f>IF('Información general'!B67="","",'Información general'!B67)</f>
        <v> </v>
      </c>
      <c r="G16" s="33">
        <f>ROUND((_xlfn.SUMIFS(PENSION_aportes,Administrativos,1,'Datos seguridad social'!$F$5:$F$40,'Cálculos seguridad social'!F16)*12),0)</f>
        <v>0</v>
      </c>
      <c r="H16" s="33">
        <f>ROUND((_xlfn.SUMIFS(PENSION_aportes,Asistenciales,1,'Datos seguridad social'!$F$5:$F$40,'Cálculos seguridad social'!F16)*12),0)</f>
        <v>0</v>
      </c>
      <c r="I16" s="37">
        <f t="shared" si="1"/>
        <v>0</v>
      </c>
    </row>
    <row r="17" spans="1:9" ht="13.5" thickBot="1">
      <c r="A17" s="51" t="str">
        <f>IF('Información general'!A68="","",'Información general'!A68)</f>
        <v> </v>
      </c>
      <c r="B17" s="33">
        <f>ROUND((_xlfn.SUMIFS(EPS_aportes,Administrativos,1,'Datos seguridad social'!$E$5:$E$40,'Cálculos seguridad social'!A17)*12),0)</f>
        <v>0</v>
      </c>
      <c r="C17" s="33">
        <f>ROUND((_xlfn.SUMIFS(EPS_aportes,Asistenciales,1,'Datos seguridad social'!$E$5:$E$40,'Cálculos seguridad social'!A17)*12),0)</f>
        <v>0</v>
      </c>
      <c r="D17" s="47">
        <f t="shared" si="0"/>
        <v>0</v>
      </c>
      <c r="F17" s="50" t="str">
        <f>IF('Información general'!B68="","",'Información general'!B68)</f>
        <v> </v>
      </c>
      <c r="G17" s="33">
        <f>ROUND((_xlfn.SUMIFS(PENSION_aportes,Administrativos,1,'Datos seguridad social'!$F$5:$F$40,'Cálculos seguridad social'!F17)*12),0)</f>
        <v>0</v>
      </c>
      <c r="H17" s="33">
        <f>ROUND((_xlfn.SUMIFS(PENSION_aportes,Asistenciales,1,'Datos seguridad social'!$F$5:$F$40,'Cálculos seguridad social'!F17)*12),0)</f>
        <v>0</v>
      </c>
      <c r="I17" s="39">
        <f t="shared" si="1"/>
        <v>0</v>
      </c>
    </row>
    <row r="18" spans="1:9" ht="13.5" thickBot="1">
      <c r="A18" s="42" t="s">
        <v>211</v>
      </c>
      <c r="B18" s="40">
        <f>+SUM(B6:B17)</f>
        <v>53018436</v>
      </c>
      <c r="C18" s="40">
        <f>+SUM(C6:C17)</f>
        <v>110435424</v>
      </c>
      <c r="D18" s="41">
        <f>+SUM(D6:D17)</f>
        <v>163453860</v>
      </c>
      <c r="F18" s="42" t="s">
        <v>211</v>
      </c>
      <c r="G18" s="40">
        <f>+SUM(G6:G17)</f>
        <v>74849556</v>
      </c>
      <c r="H18" s="40">
        <f>+SUM(H6:H17)</f>
        <v>155908824</v>
      </c>
      <c r="I18" s="41">
        <f>+SUM(I6:I17)</f>
        <v>230758380</v>
      </c>
    </row>
    <row r="19" ht="13.5" thickBot="1"/>
    <row r="20" spans="1:9" ht="16.5" thickBot="1">
      <c r="A20" s="684" t="str">
        <f>+'Información general'!C56</f>
        <v>CESANTIAS</v>
      </c>
      <c r="B20" s="685"/>
      <c r="C20" s="685"/>
      <c r="D20" s="686"/>
      <c r="F20" s="684" t="s">
        <v>386</v>
      </c>
      <c r="G20" s="685"/>
      <c r="H20" s="685"/>
      <c r="I20" s="686"/>
    </row>
    <row r="21" spans="1:9" ht="13.5" thickBot="1">
      <c r="A21" s="29" t="s">
        <v>208</v>
      </c>
      <c r="B21" s="28" t="s">
        <v>209</v>
      </c>
      <c r="C21" s="28" t="s">
        <v>210</v>
      </c>
      <c r="D21" s="21" t="s">
        <v>2</v>
      </c>
      <c r="F21" s="29" t="s">
        <v>212</v>
      </c>
      <c r="G21" s="28" t="s">
        <v>209</v>
      </c>
      <c r="H21" s="28" t="s">
        <v>210</v>
      </c>
      <c r="I21" s="21" t="s">
        <v>2</v>
      </c>
    </row>
    <row r="22" spans="1:9" ht="12.75">
      <c r="A22" s="48" t="str">
        <f>IF('Información general'!C57="","",'Información general'!C57)</f>
        <v>COLFONDOS</v>
      </c>
      <c r="B22" s="33">
        <f>ROUND((_xlfn.SUMIFS(CESANTIAS_aportes,Administrativos,1,'Datos seguridad social'!$G$5:$G$40,'Cálculos seguridad social'!A22)),0)</f>
        <v>0</v>
      </c>
      <c r="C22" s="33">
        <f>ROUND((_xlfn.SUMIFS(CESANTIAS_aportes,Asistenciales,1,'Datos seguridad social'!$G$5:$G$40,'Cálculos seguridad social'!A22)),0)</f>
        <v>0</v>
      </c>
      <c r="D22" s="34">
        <f aca="true" t="shared" si="2" ref="D22:D33">+C22+B22</f>
        <v>0</v>
      </c>
      <c r="F22" s="393" t="str">
        <f>+'Datos seguridad social'!W4</f>
        <v>CCF COMFENALCO ANTIOQUIA</v>
      </c>
      <c r="G22" s="33">
        <f>ROUND((SUMIF(Administrativos,1,CCF_aportes)*12),0)</f>
        <v>29581399</v>
      </c>
      <c r="H22" s="33">
        <f>ROUND((SUMIF(Asistenciales,1,CCF_aportes)*12),0)</f>
        <v>60938957</v>
      </c>
      <c r="I22" s="34">
        <f>+G22+H22</f>
        <v>90520356</v>
      </c>
    </row>
    <row r="23" spans="1:9" ht="12.75">
      <c r="A23" s="49" t="str">
        <f>IF('Información general'!C58="","",'Información general'!C58)</f>
        <v>PROTECCION</v>
      </c>
      <c r="B23" s="33">
        <f>ROUND((_xlfn.SUMIFS(CESANTIAS_aportes,Administrativos,1,'Datos seguridad social'!$G$5:$G$40,'Cálculos seguridad social'!A23)),0)</f>
        <v>37453078</v>
      </c>
      <c r="C23" s="33">
        <f>ROUND((_xlfn.SUMIFS(CESANTIAS_aportes,Asistenciales,1,'Datos seguridad social'!$G$5:$G$40,'Cálculos seguridad social'!A23)),0)</f>
        <v>79832351</v>
      </c>
      <c r="D23" s="37">
        <f t="shared" si="2"/>
        <v>117285429</v>
      </c>
      <c r="F23" s="35" t="str">
        <f>+'Datos seguridad social'!X4</f>
        <v>ICBF</v>
      </c>
      <c r="G23" s="36">
        <f>ROUND((SUMIF(Administrativos,1,ICBF_aportes)*12),0)</f>
        <v>22186049</v>
      </c>
      <c r="H23" s="36">
        <f>ROUND((SUMIF(Asistenciales,1,ICBF_aportes)*12),0)</f>
        <v>45704218</v>
      </c>
      <c r="I23" s="37">
        <f>+G23+H23</f>
        <v>67890267</v>
      </c>
    </row>
    <row r="24" spans="1:9" ht="13.5" thickBot="1">
      <c r="A24" s="49" t="str">
        <f>IF('Información general'!C59="","",'Información general'!C59)</f>
        <v>PORVENIR</v>
      </c>
      <c r="B24" s="33">
        <f>ROUND((_xlfn.SUMIFS(CESANTIAS_aportes,Administrativos,1,'Datos seguridad social'!$G$5:$G$40,'Cálculos seguridad social'!A24)),0)</f>
        <v>16344197</v>
      </c>
      <c r="C24" s="33">
        <f>ROUND((_xlfn.SUMIFS(CESANTIAS_aportes,Asistenciales,1,'Datos seguridad social'!$G$5:$G$40,'Cálculos seguridad social'!A24)),0)</f>
        <v>40174093</v>
      </c>
      <c r="D24" s="37">
        <f t="shared" si="2"/>
        <v>56518290</v>
      </c>
      <c r="F24" s="45" t="str">
        <f>+'Datos seguridad social'!Y4</f>
        <v>SENA</v>
      </c>
      <c r="G24" s="46">
        <f>ROUND((SUMIF(Administrativos,1,SENA_aportes)*12),0)</f>
        <v>14790699</v>
      </c>
      <c r="H24" s="46">
        <f>ROUND((SUMIF(Asistenciales,1,SENA_aportes)*12),0)</f>
        <v>30469478</v>
      </c>
      <c r="I24" s="47">
        <f>+G24+H24</f>
        <v>45260177</v>
      </c>
    </row>
    <row r="25" spans="1:9" ht="13.5" thickBot="1">
      <c r="A25" s="49" t="str">
        <f>IF('Información general'!C60="","",'Información general'!C60)</f>
        <v>FONDO NACIONAL</v>
      </c>
      <c r="B25" s="33">
        <f>ROUND((_xlfn.SUMIFS(CESANTIAS_aportes,Administrativos,1,'Datos seguridad social'!$G$5:$G$40,'Cálculos seguridad social'!A25)),0)</f>
        <v>9701559</v>
      </c>
      <c r="C25" s="33">
        <f>ROUND((_xlfn.SUMIFS(CESANTIAS_aportes,Asistenciales,1,'Datos seguridad social'!$G$5:$G$40,'Cálculos seguridad social'!A25)),0)</f>
        <v>10781895</v>
      </c>
      <c r="D25" s="37">
        <f t="shared" si="2"/>
        <v>20483454</v>
      </c>
      <c r="F25" s="30" t="s">
        <v>213</v>
      </c>
      <c r="G25" s="40">
        <f>+SUM(G22:G24)</f>
        <v>66558147</v>
      </c>
      <c r="H25" s="40">
        <f>+SUM(H22:H24)</f>
        <v>137112653</v>
      </c>
      <c r="I25" s="41">
        <f>+G25+H25</f>
        <v>203670800</v>
      </c>
    </row>
    <row r="26" spans="1:4" ht="12.75">
      <c r="A26" s="49" t="str">
        <f>IF('Información general'!C61="","",'Información general'!C61)</f>
        <v> </v>
      </c>
      <c r="B26" s="33">
        <f>ROUND((_xlfn.SUMIFS(CESANTIAS_aportes,Administrativos,1,'Datos seguridad social'!$G$5:$G$40,'Cálculos seguridad social'!A26)),0)</f>
        <v>0</v>
      </c>
      <c r="C26" s="33">
        <f>ROUND((_xlfn.SUMIFS(CESANTIAS_aportes,Asistenciales,1,'Datos seguridad social'!$G$5:$G$40,'Cálculos seguridad social'!A26)),0)</f>
        <v>0</v>
      </c>
      <c r="D26" s="37">
        <f t="shared" si="2"/>
        <v>0</v>
      </c>
    </row>
    <row r="27" spans="1:4" ht="13.5" thickBot="1">
      <c r="A27" s="49" t="str">
        <f>IF('Información general'!C62="","",'Información general'!C62)</f>
        <v> </v>
      </c>
      <c r="B27" s="33">
        <f>ROUND((_xlfn.SUMIFS(CESANTIAS_aportes,Administrativos,1,'Datos seguridad social'!$G$5:$G$40,'Cálculos seguridad social'!A27)),0)</f>
        <v>0</v>
      </c>
      <c r="C27" s="33">
        <f>ROUND((_xlfn.SUMIFS(CESANTIAS_aportes,Asistenciales,1,'Datos seguridad social'!$G$5:$G$40,'Cálculos seguridad social'!A27)),0)</f>
        <v>0</v>
      </c>
      <c r="D27" s="37">
        <f t="shared" si="2"/>
        <v>0</v>
      </c>
    </row>
    <row r="28" spans="1:9" ht="16.5" thickBot="1">
      <c r="A28" s="49" t="str">
        <f>IF('Información general'!C63="","",'Información general'!C63)</f>
        <v> </v>
      </c>
      <c r="B28" s="33">
        <f>ROUND((_xlfn.SUMIFS(CESANTIAS_aportes,Administrativos,1,'Datos seguridad social'!$G$5:$G$40,'Cálculos seguridad social'!A28)),0)</f>
        <v>0</v>
      </c>
      <c r="C28" s="33">
        <f>ROUND((_xlfn.SUMIFS(CESANTIAS_aportes,Asistenciales,1,'Datos seguridad social'!$G$5:$G$40,'Cálculos seguridad social'!A28)),0)</f>
        <v>0</v>
      </c>
      <c r="D28" s="37">
        <f t="shared" si="2"/>
        <v>0</v>
      </c>
      <c r="F28" s="690" t="s">
        <v>569</v>
      </c>
      <c r="G28" s="685"/>
      <c r="H28" s="685"/>
      <c r="I28" s="686"/>
    </row>
    <row r="29" spans="1:9" ht="13.5" thickBot="1">
      <c r="A29" s="49" t="str">
        <f>IF('Información general'!C64="","",'Información general'!C64)</f>
        <v> </v>
      </c>
      <c r="B29" s="33">
        <f>ROUND((_xlfn.SUMIFS(CESANTIAS_aportes,Administrativos,1,'Datos seguridad social'!$G$5:$G$40,'Cálculos seguridad social'!A29)),0)</f>
        <v>0</v>
      </c>
      <c r="C29" s="33">
        <f>ROUND((_xlfn.SUMIFS(CESANTIAS_aportes,Asistenciales,1,'Datos seguridad social'!$G$5:$G$40,'Cálculos seguridad social'!A29)),0)</f>
        <v>0</v>
      </c>
      <c r="D29" s="37">
        <f t="shared" si="2"/>
        <v>0</v>
      </c>
      <c r="F29" s="29" t="s">
        <v>212</v>
      </c>
      <c r="G29" s="28" t="s">
        <v>209</v>
      </c>
      <c r="H29" s="28" t="s">
        <v>210</v>
      </c>
      <c r="I29" s="21" t="s">
        <v>2</v>
      </c>
    </row>
    <row r="30" spans="1:9" ht="12.75">
      <c r="A30" s="49" t="str">
        <f>IF('Información general'!C65="","",'Información general'!C65)</f>
        <v> </v>
      </c>
      <c r="B30" s="33">
        <f>ROUND((_xlfn.SUMIFS(CESANTIAS_aportes,Administrativos,1,'Datos seguridad social'!$G$5:$G$40,'Cálculos seguridad social'!A30)),0)</f>
        <v>0</v>
      </c>
      <c r="C30" s="33">
        <f>ROUND((_xlfn.SUMIFS(CESANTIAS_aportes,Asistenciales,1,'Datos seguridad social'!$G$5:$G$40,'Cálculos seguridad social'!A30)),0)</f>
        <v>0</v>
      </c>
      <c r="D30" s="37">
        <f t="shared" si="2"/>
        <v>0</v>
      </c>
      <c r="F30" s="35" t="str">
        <f>+'Información general'!E60</f>
        <v>COLMENA</v>
      </c>
      <c r="G30" s="36">
        <f>+SUMIF(Administrativos,1,ARP_aportes)*12</f>
        <v>3255956.2915199995</v>
      </c>
      <c r="H30" s="36">
        <f>+SUMIF(Asistenciales,1,ARP_aportes)*12</f>
        <v>31649490.784800008</v>
      </c>
      <c r="I30" s="37">
        <f>+G30+H30</f>
        <v>34905447.07632001</v>
      </c>
    </row>
    <row r="31" spans="1:9" ht="13.5" thickBot="1">
      <c r="A31" s="49" t="str">
        <f>IF('Información general'!C66="","",'Información general'!C66)</f>
        <v> </v>
      </c>
      <c r="B31" s="33">
        <f>ROUND((_xlfn.SUMIFS(CESANTIAS_aportes,Administrativos,1,'Datos seguridad social'!$G$5:$G$40,'Cálculos seguridad social'!A31)),0)</f>
        <v>0</v>
      </c>
      <c r="C31" s="33">
        <f>ROUND((_xlfn.SUMIFS(CESANTIAS_aportes,Asistenciales,1,'Datos seguridad social'!$G$5:$G$40,'Cálculos seguridad social'!A31)),0)</f>
        <v>0</v>
      </c>
      <c r="D31" s="37">
        <f t="shared" si="2"/>
        <v>0</v>
      </c>
      <c r="F31" s="45"/>
      <c r="G31" s="46"/>
      <c r="H31" s="46"/>
      <c r="I31" s="47"/>
    </row>
    <row r="32" spans="1:9" ht="13.5" thickBot="1">
      <c r="A32" s="49" t="str">
        <f>IF('Información general'!C67="","",'Información general'!C67)</f>
        <v> </v>
      </c>
      <c r="B32" s="33">
        <f>ROUND((_xlfn.SUMIFS(CESANTIAS_aportes,Administrativos,1,'Datos seguridad social'!$G$5:$G$40,'Cálculos seguridad social'!A32)),0)</f>
        <v>0</v>
      </c>
      <c r="C32" s="33">
        <f>ROUND((_xlfn.SUMIFS(CESANTIAS_aportes,Asistenciales,1,'Datos seguridad social'!$G$5:$G$40,'Cálculos seguridad social'!A32)),0)</f>
        <v>0</v>
      </c>
      <c r="D32" s="37">
        <f t="shared" si="2"/>
        <v>0</v>
      </c>
      <c r="F32" s="30" t="s">
        <v>387</v>
      </c>
      <c r="G32" s="40">
        <f>+SUM(G30:G31)</f>
        <v>3255956.2915199995</v>
      </c>
      <c r="H32" s="40">
        <f>+SUM(H30:H31)</f>
        <v>31649490.784800008</v>
      </c>
      <c r="I32" s="41">
        <f>+G32+H32</f>
        <v>34905447.07632001</v>
      </c>
    </row>
    <row r="33" spans="1:4" ht="13.5" thickBot="1">
      <c r="A33" s="50" t="str">
        <f>IF('Información general'!C68="","",'Información general'!C68)</f>
        <v> </v>
      </c>
      <c r="B33" s="33">
        <f>ROUND((_xlfn.SUMIFS(CESANTIAS_aportes,Administrativos,1,'Datos seguridad social'!$G$5:$G$40,'Cálculos seguridad social'!A33)),0)</f>
        <v>0</v>
      </c>
      <c r="C33" s="33">
        <f>ROUND((_xlfn.SUMIFS(CESANTIAS_aportes,Asistenciales,1,'Datos seguridad social'!$G$5:$G$40,'Cálculos seguridad social'!A33)),0)</f>
        <v>0</v>
      </c>
      <c r="D33" s="39">
        <f t="shared" si="2"/>
        <v>0</v>
      </c>
    </row>
    <row r="34" spans="1:4" ht="13.5" thickBot="1">
      <c r="A34" s="42" t="s">
        <v>211</v>
      </c>
      <c r="B34" s="40">
        <f>+SUM(B22:B33)</f>
        <v>63498834</v>
      </c>
      <c r="C34" s="40">
        <f>+SUM(C22:C33)</f>
        <v>130788339</v>
      </c>
      <c r="D34" s="41">
        <f>+SUM(D22:D33)</f>
        <v>194287173</v>
      </c>
    </row>
    <row r="35" ht="12.75"/>
    <row r="36" ht="12.75"/>
    <row r="37" ht="17.25" thickBot="1">
      <c r="A37" s="312" t="s">
        <v>389</v>
      </c>
    </row>
    <row r="38" spans="1:11" ht="12.75">
      <c r="A38" s="687" t="s">
        <v>394</v>
      </c>
      <c r="B38" s="688"/>
      <c r="C38" s="688"/>
      <c r="D38" s="689"/>
      <c r="F38" s="687" t="s">
        <v>395</v>
      </c>
      <c r="G38" s="688"/>
      <c r="H38" s="688"/>
      <c r="I38" s="688"/>
      <c r="J38" s="688"/>
      <c r="K38" s="689"/>
    </row>
    <row r="39" spans="1:11" ht="77.25" thickBot="1">
      <c r="A39" s="315" t="s">
        <v>390</v>
      </c>
      <c r="B39" s="316" t="s">
        <v>391</v>
      </c>
      <c r="C39" s="316" t="s">
        <v>392</v>
      </c>
      <c r="D39" s="317" t="s">
        <v>393</v>
      </c>
      <c r="E39" s="313"/>
      <c r="F39" s="315" t="s">
        <v>396</v>
      </c>
      <c r="G39" s="328" t="s">
        <v>397</v>
      </c>
      <c r="H39" s="316" t="s">
        <v>398</v>
      </c>
      <c r="I39" s="328" t="s">
        <v>399</v>
      </c>
      <c r="J39" s="391" t="s">
        <v>527</v>
      </c>
      <c r="K39" s="317" t="s">
        <v>403</v>
      </c>
    </row>
    <row r="40" spans="1:11" ht="12.75">
      <c r="A40" s="32" t="str">
        <f>+'Información general'!A74</f>
        <v>SALUD</v>
      </c>
      <c r="B40" s="33">
        <f>+'Información general'!B74</f>
        <v>0</v>
      </c>
      <c r="C40" s="33">
        <f>+D18</f>
        <v>163453860</v>
      </c>
      <c r="D40" s="34">
        <f>+B40-C40</f>
        <v>-163453860</v>
      </c>
      <c r="F40" s="32">
        <f>+IF(D40&lt;0,B40,C40)</f>
        <v>0</v>
      </c>
      <c r="G40" s="326">
        <f>ROUND((IF(D40&lt;0,-D40,0)),0)</f>
        <v>163453860</v>
      </c>
      <c r="H40" s="33">
        <f>ROUND((IF($G$44=0,J40,ROUND((F40+$H$44*G40/$G$44),0))),0)</f>
        <v>0</v>
      </c>
      <c r="I40" s="33">
        <f>ROUND((IF($G$44=0,0,C40-H40)),0)</f>
        <v>163453860</v>
      </c>
      <c r="J40" s="33">
        <f>+F40</f>
        <v>0</v>
      </c>
      <c r="K40" s="327">
        <f>ROUND((IF(C40&gt;J40,C40,J40)),0)</f>
        <v>163453860</v>
      </c>
    </row>
    <row r="41" spans="1:11" ht="12.75">
      <c r="A41" s="314" t="str">
        <f>+'Información general'!A75</f>
        <v>PENSION</v>
      </c>
      <c r="B41" s="36">
        <f>+'Información general'!B75</f>
        <v>0</v>
      </c>
      <c r="C41" s="36">
        <f>+I18</f>
        <v>230758380</v>
      </c>
      <c r="D41" s="37">
        <f>+B41-C41</f>
        <v>-230758380</v>
      </c>
      <c r="F41" s="35">
        <f>+IF(D41&lt;0,B41,C41)</f>
        <v>0</v>
      </c>
      <c r="G41" s="322">
        <f>ROUND((IF(D41&lt;0,-D41,0)),0)</f>
        <v>230758380</v>
      </c>
      <c r="H41" s="36">
        <f>ROUND((IF($G$44=0,J41,ROUND((F41+$H$44*G41/$G$44),0))),0)</f>
        <v>0</v>
      </c>
      <c r="I41" s="36">
        <f>ROUND((IF($G$44=0,0,C41-H41)),0)</f>
        <v>230758380</v>
      </c>
      <c r="J41" s="36">
        <f>+F41</f>
        <v>0</v>
      </c>
      <c r="K41" s="323">
        <f>ROUND((IF(C41&gt;J41,C41,J41)),0)</f>
        <v>230758380</v>
      </c>
    </row>
    <row r="42" spans="1:11" ht="12.75">
      <c r="A42" s="314" t="str">
        <f>+'Información general'!A76</f>
        <v>ARL</v>
      </c>
      <c r="B42" s="36">
        <f>+'Información general'!B76</f>
        <v>0</v>
      </c>
      <c r="C42" s="36">
        <f>+I32</f>
        <v>34905447.07632001</v>
      </c>
      <c r="D42" s="37">
        <f>+B42-C42</f>
        <v>-34905447.07632001</v>
      </c>
      <c r="F42" s="35">
        <f>+IF(D42&lt;0,B42,C42)</f>
        <v>0</v>
      </c>
      <c r="G42" s="322">
        <f>ROUND((IF(D42&lt;0,-D42,0)),0)</f>
        <v>34905447</v>
      </c>
      <c r="H42" s="36">
        <f>ROUND((IF($G$44=0,J42,ROUND((F42+$H$44*G42/$G$44),0))),0)</f>
        <v>0</v>
      </c>
      <c r="I42" s="36">
        <f>ROUND((IF($G$44=0,0,C42-H42)),0)</f>
        <v>34905447</v>
      </c>
      <c r="J42" s="36">
        <f>+F42</f>
        <v>0</v>
      </c>
      <c r="K42" s="323">
        <f>ROUND((IF(C42&gt;J42,C42,J42)),0)</f>
        <v>34905447</v>
      </c>
    </row>
    <row r="43" spans="1:11" ht="13.5" thickBot="1">
      <c r="A43" s="318" t="str">
        <f>+'Información general'!A77</f>
        <v>CESANTIAS</v>
      </c>
      <c r="B43" s="46">
        <f>+'Información general'!B77</f>
        <v>0</v>
      </c>
      <c r="C43" s="46">
        <f>+D34</f>
        <v>194287173</v>
      </c>
      <c r="D43" s="47">
        <f>+B43-C43</f>
        <v>-194287173</v>
      </c>
      <c r="F43" s="320">
        <f>+IF(D43&lt;0,B43,C43)</f>
        <v>0</v>
      </c>
      <c r="G43" s="324">
        <f>ROUND((IF(D43&lt;0,-D43,0)),0)</f>
        <v>194287173</v>
      </c>
      <c r="H43" s="38">
        <f>ROUND((IF($G$44=0,J43,ROUND((F43+$H$44*G43/$G$44),0))),0)</f>
        <v>0</v>
      </c>
      <c r="I43" s="38">
        <f>ROUND((IF($G$44=0,0,C43-H43)),0)</f>
        <v>194287173</v>
      </c>
      <c r="J43" s="38">
        <f>+F43+D44+G44</f>
        <v>-0.07631993293762207</v>
      </c>
      <c r="K43" s="325">
        <f>ROUND((IF(C43&gt;J43,C43,J43)-G44),0)</f>
        <v>-429117687</v>
      </c>
    </row>
    <row r="44" spans="1:11" ht="13.5" thickBot="1">
      <c r="A44" s="30" t="str">
        <f>+'Información general'!A78</f>
        <v>TOTAL SGP</v>
      </c>
      <c r="B44" s="40">
        <f>+SUM(B40:B43)</f>
        <v>0</v>
      </c>
      <c r="C44" s="40">
        <f>+SUM(C40:C43)</f>
        <v>623404860.0763199</v>
      </c>
      <c r="D44" s="41">
        <f>+SUM(D40:D43)</f>
        <v>-623404860.0763199</v>
      </c>
      <c r="F44" s="319">
        <f>+SUM(F40:F43)</f>
        <v>0</v>
      </c>
      <c r="G44" s="40">
        <f>+SUM(G40:G43)</f>
        <v>623404860</v>
      </c>
      <c r="H44" s="40">
        <f>+G44+D44</f>
        <v>-0.07631993293762207</v>
      </c>
      <c r="I44" s="392">
        <f>+H44+E44</f>
        <v>-0.07631993293762207</v>
      </c>
      <c r="J44" s="40">
        <f>+SUM(J40:J43)</f>
        <v>-0.07631993293762207</v>
      </c>
      <c r="K44" s="41">
        <f>+SUM(K40:K43)</f>
        <v>0</v>
      </c>
    </row>
    <row r="45" ht="12.75"/>
    <row r="46" ht="12.75"/>
    <row r="47" ht="12.75"/>
    <row r="48" ht="15.75">
      <c r="F48" s="331" t="s">
        <v>400</v>
      </c>
    </row>
    <row r="49" ht="13.5" thickBot="1"/>
    <row r="50" spans="6:10" ht="12.75">
      <c r="F50" s="679" t="s">
        <v>188</v>
      </c>
      <c r="G50" s="681" t="s">
        <v>401</v>
      </c>
      <c r="H50" s="682"/>
      <c r="I50" s="681" t="s">
        <v>402</v>
      </c>
      <c r="J50" s="683"/>
    </row>
    <row r="51" spans="6:10" ht="13.5" thickBot="1">
      <c r="F51" s="680"/>
      <c r="G51" s="329" t="s">
        <v>95</v>
      </c>
      <c r="H51" s="329" t="s">
        <v>197</v>
      </c>
      <c r="I51" s="329" t="s">
        <v>95</v>
      </c>
      <c r="J51" s="330" t="s">
        <v>197</v>
      </c>
    </row>
    <row r="52" spans="6:10" ht="12.75">
      <c r="F52" s="32" t="str">
        <f>+A40</f>
        <v>SALUD</v>
      </c>
      <c r="G52" s="33">
        <f>IF(D18=0,0,ROUND((IF(D44&lt;0,H40,K40)*($B$18/$D$18)),0))</f>
        <v>0</v>
      </c>
      <c r="H52" s="33">
        <f>IF(D18=0,0,ROUND((IF(D44&lt;0,H40,K40)*($C$18/$D$18)),0))</f>
        <v>0</v>
      </c>
      <c r="I52" s="33">
        <f>IF(D18=0,0,ROUND((IF(D44&lt;0,I40,0)*($B$18/$D$18)),0))</f>
        <v>53018436</v>
      </c>
      <c r="J52" s="34">
        <f>IF(D18=0,0,ROUND((IF(D44&lt;0,I40,0)*($C$18/$D$18)),0))</f>
        <v>110435424</v>
      </c>
    </row>
    <row r="53" spans="6:10" ht="12.75">
      <c r="F53" s="35" t="str">
        <f>+A41</f>
        <v>PENSION</v>
      </c>
      <c r="G53" s="36">
        <f>IF(I18=0,0,ROUND((IF(D44&lt;0,H41,K41)*($G$18/$I$18)),0))</f>
        <v>0</v>
      </c>
      <c r="H53" s="36">
        <f>IF(I18=0,0,ROUND((IF(D44&lt;0,H41,K41)*($H$18/$I$18)),0))</f>
        <v>0</v>
      </c>
      <c r="I53" s="36">
        <f>IF(I18=0,0,ROUND((IF(D44&lt;0,I41,0)*($G$18/$I$18)),0))</f>
        <v>74849556</v>
      </c>
      <c r="J53" s="37">
        <f>IF(I18=0,0,ROUND((IF(D44&lt;0,I41,0)*($H$18/$I$18)),0))</f>
        <v>155908824</v>
      </c>
    </row>
    <row r="54" spans="6:10" ht="12.75">
      <c r="F54" s="35" t="str">
        <f>+A42</f>
        <v>ARL</v>
      </c>
      <c r="G54" s="36">
        <f>IF(I32=0,0,ROUND((IF(D44&lt;0,H42,K42)*($G$32/$I$32)),0))</f>
        <v>0</v>
      </c>
      <c r="H54" s="36">
        <f>IF(I32=0,0,ROUND((IF(D44&lt;0,H42,K42)*($H$32/$I$32)),0))</f>
        <v>0</v>
      </c>
      <c r="I54" s="36">
        <f>IF(I32=0,0,ROUND((IF(D44&lt;0,I42,0)*($G$32/$I$32)),0))</f>
        <v>3255956</v>
      </c>
      <c r="J54" s="37">
        <f>IF(I32=0,0,ROUND((IF(D44&lt;0,I42,0)*($H$32/$I$32)),0))</f>
        <v>31649491</v>
      </c>
    </row>
    <row r="55" spans="6:10" ht="13.5" thickBot="1">
      <c r="F55" s="45" t="str">
        <f>+A43</f>
        <v>CESANTIAS</v>
      </c>
      <c r="G55" s="46">
        <f>IF(D34=0,0,ROUND((IF(D44&lt;0,H43,K43)*($B$34/$D$34)),0))</f>
        <v>0</v>
      </c>
      <c r="H55" s="46">
        <f>IF(D34=0,0,ROUND((IF(D44&lt;0,H43,K43)*($C$34/$D$34)),0))</f>
        <v>0</v>
      </c>
      <c r="I55" s="46">
        <f>IF(D34=0,0,ROUND((IF(D44&lt;0,I43,0)*($B$34/$D$34)),0))</f>
        <v>63498834</v>
      </c>
      <c r="J55" s="47">
        <f>IF(D34=0,0,ROUND((IF(D44&lt;0,I43,0)*($C$34/$D$34)),0))</f>
        <v>130788339</v>
      </c>
    </row>
    <row r="56" spans="6:10" ht="13.5" thickBot="1">
      <c r="F56" s="319" t="str">
        <f>+A44</f>
        <v>TOTAL SGP</v>
      </c>
      <c r="G56" s="40">
        <f>+SUM(G52:G55)</f>
        <v>0</v>
      </c>
      <c r="H56" s="40">
        <f>+SUM(H52:H55)</f>
        <v>0</v>
      </c>
      <c r="I56" s="40">
        <f>+SUM(I52:I55)</f>
        <v>194622782</v>
      </c>
      <c r="J56" s="41">
        <f>+SUM(J52:J55)</f>
        <v>428782078</v>
      </c>
    </row>
    <row r="57" ht="12.75"/>
  </sheetData>
  <sheetProtection sheet="1"/>
  <mergeCells count="10">
    <mergeCell ref="F50:F51"/>
    <mergeCell ref="G50:H50"/>
    <mergeCell ref="I50:J50"/>
    <mergeCell ref="F4:I4"/>
    <mergeCell ref="A38:D38"/>
    <mergeCell ref="F38:K38"/>
    <mergeCell ref="A4:D4"/>
    <mergeCell ref="A20:D20"/>
    <mergeCell ref="F20:I20"/>
    <mergeCell ref="F28:I28"/>
  </mergeCells>
  <printOptions horizontalCentered="1"/>
  <pageMargins left="0.7874015748031497" right="0.7874015748031497" top="0.984251968503937" bottom="0.984251968503937" header="0" footer="0"/>
  <pageSetup horizontalDpi="300" verticalDpi="300" orientation="landscape" scale="90" r:id="rId1"/>
</worksheet>
</file>

<file path=xl/worksheets/sheet5.xml><?xml version="1.0" encoding="utf-8"?>
<worksheet xmlns="http://schemas.openxmlformats.org/spreadsheetml/2006/main" xmlns:r="http://schemas.openxmlformats.org/officeDocument/2006/relationships">
  <sheetPr codeName="Hoja4">
    <tabColor rgb="FFFF0000"/>
  </sheetPr>
  <dimension ref="A2:P534"/>
  <sheetViews>
    <sheetView showGridLines="0" zoomScale="80" zoomScaleNormal="80" zoomScalePageLayoutView="0" workbookViewId="0" topLeftCell="A7">
      <selection activeCell="D20" activeCellId="1" sqref="D118:D128 D13:D20"/>
    </sheetView>
  </sheetViews>
  <sheetFormatPr defaultColWidth="0" defaultRowHeight="12.75" zeroHeight="1"/>
  <cols>
    <col min="1" max="1" width="2.28125" style="54" customWidth="1"/>
    <col min="2" max="2" width="7.8515625" style="54" customWidth="1"/>
    <col min="3" max="3" width="46.7109375" style="124" customWidth="1"/>
    <col min="4" max="4" width="4.421875" style="54" customWidth="1"/>
    <col min="5" max="5" width="5.8515625" style="54" customWidth="1"/>
    <col min="6" max="6" width="14.140625" style="54" customWidth="1"/>
    <col min="7" max="7" width="17.140625" style="54" customWidth="1"/>
    <col min="8" max="8" width="4.421875" style="54" customWidth="1"/>
    <col min="9" max="9" width="5.00390625" style="54" customWidth="1"/>
    <col min="10" max="10" width="15.00390625" style="54" customWidth="1"/>
    <col min="11" max="11" width="18.28125" style="54" customWidth="1"/>
    <col min="12" max="12" width="10.28125" style="125" customWidth="1"/>
    <col min="13" max="13" width="8.421875" style="54" customWidth="1"/>
    <col min="14" max="14" width="16.28125" style="54" customWidth="1"/>
    <col min="15" max="15" width="1.28515625" style="54" customWidth="1"/>
    <col min="16" max="16" width="11.421875" style="54" hidden="1" customWidth="1"/>
    <col min="17" max="17" width="11.421875" style="54" customWidth="1"/>
    <col min="18" max="16384" width="11.421875" style="54" hidden="1" customWidth="1"/>
  </cols>
  <sheetData>
    <row r="1" ht="8.25" customHeight="1" thickBot="1"/>
    <row r="2" spans="2:14" ht="12.75">
      <c r="B2" s="691" t="s">
        <v>650</v>
      </c>
      <c r="C2" s="692"/>
      <c r="D2" s="692"/>
      <c r="E2" s="692"/>
      <c r="F2" s="692"/>
      <c r="G2" s="692"/>
      <c r="H2" s="692"/>
      <c r="I2" s="692"/>
      <c r="J2" s="692"/>
      <c r="K2" s="692"/>
      <c r="L2" s="692"/>
      <c r="M2" s="692"/>
      <c r="N2" s="693"/>
    </row>
    <row r="3" spans="2:14" ht="12.75">
      <c r="B3" s="694"/>
      <c r="C3" s="695"/>
      <c r="D3" s="695"/>
      <c r="E3" s="695"/>
      <c r="F3" s="695"/>
      <c r="G3" s="695"/>
      <c r="H3" s="695"/>
      <c r="I3" s="695"/>
      <c r="J3" s="695"/>
      <c r="K3" s="695"/>
      <c r="L3" s="695"/>
      <c r="M3" s="695"/>
      <c r="N3" s="696"/>
    </row>
    <row r="4" spans="2:14" ht="42.75" customHeight="1">
      <c r="B4" s="697" t="str">
        <f>CONCATENATE("De acuerdo con la Planta de Cargos Vigente y la asignación básica de cada cargo para la vigencia 2020 se realiza la proyección de las asignaciones básicas para el año 2021 de la ",'Información general'!B4," del municipio de ",'Información general'!B3," para la vigencia comprendida entre el 01 de Enero y el 31 de Diciembre de ",'Información general'!C5," la cual no constituye la asignación básica definitiva, de acuerdo con el siguiente detalle:")</f>
        <v>De acuerdo con la Planta de Cargos Vigente y la asignación básica de cada cargo para la vigencia 2020 se realiza la proyección de las asignaciones básicas para el año 2021 de la ESE HOSPITAL SAN RAFAEL DE ITAGUI del municipio de ITAGUI para la vigencia comprendida entre el 01 de Enero y el 31 de Diciembre de 2021 la cual no constituye la asignación básica definitiva, de acuerdo con el siguiente detalle:</v>
      </c>
      <c r="C4" s="698"/>
      <c r="D4" s="698"/>
      <c r="E4" s="698"/>
      <c r="F4" s="698"/>
      <c r="G4" s="698"/>
      <c r="H4" s="698"/>
      <c r="I4" s="698"/>
      <c r="J4" s="698"/>
      <c r="K4" s="698"/>
      <c r="L4" s="698"/>
      <c r="M4" s="698"/>
      <c r="N4" s="699"/>
    </row>
    <row r="5" spans="2:14" ht="8.25" customHeight="1">
      <c r="B5" s="697"/>
      <c r="C5" s="698"/>
      <c r="D5" s="698"/>
      <c r="E5" s="698"/>
      <c r="F5" s="698"/>
      <c r="G5" s="698"/>
      <c r="H5" s="698"/>
      <c r="I5" s="698"/>
      <c r="J5" s="698"/>
      <c r="K5" s="698"/>
      <c r="L5" s="698"/>
      <c r="M5" s="698"/>
      <c r="N5" s="699"/>
    </row>
    <row r="6" spans="2:16" ht="8.25" customHeight="1">
      <c r="B6" s="710"/>
      <c r="C6" s="711"/>
      <c r="D6" s="711"/>
      <c r="E6" s="711"/>
      <c r="F6" s="711"/>
      <c r="G6" s="711"/>
      <c r="H6" s="711"/>
      <c r="I6" s="711"/>
      <c r="J6" s="711"/>
      <c r="K6" s="711"/>
      <c r="L6" s="711"/>
      <c r="M6" s="711"/>
      <c r="N6" s="712"/>
      <c r="P6" s="54">
        <v>1</v>
      </c>
    </row>
    <row r="7" spans="2:16" ht="8.25" customHeight="1" thickBot="1">
      <c r="B7" s="567"/>
      <c r="C7" s="568"/>
      <c r="D7" s="569"/>
      <c r="E7" s="569"/>
      <c r="F7" s="569"/>
      <c r="G7" s="569"/>
      <c r="H7" s="569"/>
      <c r="I7" s="569"/>
      <c r="J7" s="569"/>
      <c r="K7" s="569"/>
      <c r="L7" s="569"/>
      <c r="M7" s="569"/>
      <c r="N7" s="570"/>
      <c r="P7" s="54">
        <v>1</v>
      </c>
    </row>
    <row r="8" spans="2:16" ht="16.5">
      <c r="B8" s="133" t="s">
        <v>347</v>
      </c>
      <c r="C8" s="134"/>
      <c r="D8" s="386" t="str">
        <f>+CONCATENATE("SALARIO DEFINITIVO AÑO ",'Información general'!C5-1)</f>
        <v>SALARIO DEFINITIVO AÑO 2020</v>
      </c>
      <c r="E8" s="135"/>
      <c r="F8" s="136"/>
      <c r="G8" s="137"/>
      <c r="H8" s="138" t="str">
        <f>+CONCATENATE("DATOS CALCULADOS PARA EL AÑO ",'Información general'!C5)</f>
        <v>DATOS CALCULADOS PARA EL AÑO 2021</v>
      </c>
      <c r="I8" s="139"/>
      <c r="J8" s="135"/>
      <c r="K8" s="135"/>
      <c r="L8" s="140"/>
      <c r="M8" s="135"/>
      <c r="N8" s="141"/>
      <c r="P8" s="54">
        <v>1</v>
      </c>
    </row>
    <row r="9" spans="2:16" ht="53.25" customHeight="1" thickBot="1">
      <c r="B9" s="173" t="s">
        <v>351</v>
      </c>
      <c r="C9" s="142" t="str">
        <f>CONCATENATE("Denominación del empleo ",B9)</f>
        <v>Denominación del empleo según 
Dec. 785 de 2005</v>
      </c>
      <c r="D9" s="143" t="s">
        <v>338</v>
      </c>
      <c r="E9" s="143" t="s">
        <v>348</v>
      </c>
      <c r="F9" s="144" t="s">
        <v>339</v>
      </c>
      <c r="G9" s="144" t="s">
        <v>340</v>
      </c>
      <c r="H9" s="143" t="s">
        <v>338</v>
      </c>
      <c r="I9" s="143" t="s">
        <v>348</v>
      </c>
      <c r="J9" s="144" t="s">
        <v>339</v>
      </c>
      <c r="K9" s="144" t="s">
        <v>340</v>
      </c>
      <c r="L9" s="145" t="s">
        <v>352</v>
      </c>
      <c r="M9" s="144" t="s">
        <v>341</v>
      </c>
      <c r="N9" s="146" t="s">
        <v>342</v>
      </c>
      <c r="P9" s="54">
        <v>1</v>
      </c>
    </row>
    <row r="10" spans="2:16" ht="13.5" thickBot="1">
      <c r="B10" s="147" t="s">
        <v>96</v>
      </c>
      <c r="C10" s="148" t="s">
        <v>97</v>
      </c>
      <c r="D10" s="148" t="s">
        <v>3</v>
      </c>
      <c r="E10" s="148" t="s">
        <v>4</v>
      </c>
      <c r="F10" s="148" t="s">
        <v>5</v>
      </c>
      <c r="G10" s="148" t="s">
        <v>343</v>
      </c>
      <c r="H10" s="148" t="s">
        <v>6</v>
      </c>
      <c r="I10" s="148" t="s">
        <v>344</v>
      </c>
      <c r="J10" s="148" t="s">
        <v>7</v>
      </c>
      <c r="K10" s="148" t="s">
        <v>345</v>
      </c>
      <c r="L10" s="149" t="s">
        <v>8</v>
      </c>
      <c r="M10" s="148" t="s">
        <v>98</v>
      </c>
      <c r="N10" s="150" t="s">
        <v>346</v>
      </c>
      <c r="P10" s="54">
        <v>1</v>
      </c>
    </row>
    <row r="11" spans="2:16" ht="16.5">
      <c r="B11" s="151"/>
      <c r="C11" s="152" t="s">
        <v>9</v>
      </c>
      <c r="D11" s="153"/>
      <c r="E11" s="154"/>
      <c r="F11" s="153"/>
      <c r="G11" s="155"/>
      <c r="H11" s="153"/>
      <c r="I11" s="154"/>
      <c r="J11" s="153"/>
      <c r="K11" s="155"/>
      <c r="L11" s="156"/>
      <c r="M11" s="153"/>
      <c r="N11" s="157"/>
      <c r="P11" s="54">
        <v>1</v>
      </c>
    </row>
    <row r="12" spans="2:16" ht="16.5">
      <c r="B12" s="151"/>
      <c r="C12" s="158"/>
      <c r="D12" s="159"/>
      <c r="E12" s="154"/>
      <c r="F12" s="153"/>
      <c r="G12" s="155"/>
      <c r="H12" s="153"/>
      <c r="I12" s="154"/>
      <c r="J12" s="153"/>
      <c r="K12" s="155"/>
      <c r="L12" s="156"/>
      <c r="M12" s="153"/>
      <c r="N12" s="157"/>
      <c r="P12" s="54">
        <v>1</v>
      </c>
    </row>
    <row r="13" spans="1:16" ht="14.25">
      <c r="A13" s="54">
        <f>IF(J13=0,0,IF(J13&lt;'Información general'!$F$13*2,H13,0))</f>
        <v>0</v>
      </c>
      <c r="B13" s="378" t="s">
        <v>173</v>
      </c>
      <c r="C13" s="587" t="s">
        <v>705</v>
      </c>
      <c r="D13" s="380">
        <v>1</v>
      </c>
      <c r="E13" s="588">
        <v>7.33</v>
      </c>
      <c r="F13" s="175">
        <v>12383881.45848</v>
      </c>
      <c r="G13" s="309">
        <f aca="true" t="shared" si="0" ref="G13:G70">+D13*F13</f>
        <v>12383881.45848</v>
      </c>
      <c r="H13" s="382">
        <v>1</v>
      </c>
      <c r="I13" s="382">
        <v>8</v>
      </c>
      <c r="J13" s="160">
        <f>ROUND(F13*(1+'Información general'!$F$10),0)</f>
        <v>13003076</v>
      </c>
      <c r="K13" s="160">
        <f>+H13*J13</f>
        <v>13003076</v>
      </c>
      <c r="L13" s="177">
        <f aca="true" t="shared" si="1" ref="L13:L38">IF(H13=0,0,ROUND((IF(G13=0," ",+(J13/F13-1)*100)),3))/100</f>
        <v>0.05</v>
      </c>
      <c r="M13" s="382">
        <f>+IF(H13&gt;0,12,0)</f>
        <v>12</v>
      </c>
      <c r="N13" s="161">
        <f>+K13*M13</f>
        <v>156036912</v>
      </c>
      <c r="O13" s="75"/>
      <c r="P13" s="54">
        <f>+IF(COUNT(B13:N13)&gt;8,1,0)</f>
        <v>1</v>
      </c>
    </row>
    <row r="14" spans="1:16" ht="14.25">
      <c r="A14" s="54">
        <f>IF(J14=0,0,IF(J14&lt;'Información general'!$F$13*2,H14,0))</f>
        <v>0</v>
      </c>
      <c r="B14" s="378" t="s">
        <v>706</v>
      </c>
      <c r="C14" s="587" t="s">
        <v>707</v>
      </c>
      <c r="D14" s="380">
        <v>1</v>
      </c>
      <c r="E14" s="588">
        <v>7.33</v>
      </c>
      <c r="F14" s="175">
        <v>7571623.179456</v>
      </c>
      <c r="G14" s="309">
        <f t="shared" si="0"/>
        <v>7571623.179456</v>
      </c>
      <c r="H14" s="382">
        <f aca="true" t="shared" si="2" ref="H14:H38">D14</f>
        <v>1</v>
      </c>
      <c r="I14" s="382">
        <f aca="true" t="shared" si="3" ref="I14:I38">+E14</f>
        <v>7.33</v>
      </c>
      <c r="J14" s="160">
        <f>ROUND(F14*(1+'Información general'!$F$10),0)</f>
        <v>7950204</v>
      </c>
      <c r="K14" s="160">
        <f aca="true" t="shared" si="4" ref="K14:K71">+H14*J14</f>
        <v>7950204</v>
      </c>
      <c r="L14" s="177">
        <f t="shared" si="1"/>
        <v>0.05</v>
      </c>
      <c r="M14" s="382">
        <f aca="true" t="shared" si="5" ref="M14:M71">+IF(H14&gt;0,12,0)</f>
        <v>12</v>
      </c>
      <c r="N14" s="161">
        <f aca="true" t="shared" si="6" ref="N14:N71">+K14*M14</f>
        <v>95402448</v>
      </c>
      <c r="P14" s="54">
        <f aca="true" t="shared" si="7" ref="P14:P71">+IF(COUNT(B14:N14)&gt;8,1,0)</f>
        <v>1</v>
      </c>
    </row>
    <row r="15" spans="1:16" ht="14.25">
      <c r="A15" s="54">
        <f>IF(J15=0,0,IF(J15&lt;'Información general'!$F$13*2,H15,0))</f>
        <v>0</v>
      </c>
      <c r="B15" s="378" t="s">
        <v>706</v>
      </c>
      <c r="C15" s="587" t="s">
        <v>708</v>
      </c>
      <c r="D15" s="380">
        <v>1</v>
      </c>
      <c r="E15" s="588">
        <v>7.33</v>
      </c>
      <c r="F15" s="175">
        <v>7573356.56389536</v>
      </c>
      <c r="G15" s="309">
        <f t="shared" si="0"/>
        <v>7573356.56389536</v>
      </c>
      <c r="H15" s="382">
        <f t="shared" si="2"/>
        <v>1</v>
      </c>
      <c r="I15" s="382">
        <f t="shared" si="3"/>
        <v>7.33</v>
      </c>
      <c r="J15" s="160">
        <f>ROUND(F15*(1+'Información general'!$F$10),0)</f>
        <v>7952024</v>
      </c>
      <c r="K15" s="160">
        <f t="shared" si="4"/>
        <v>7952024</v>
      </c>
      <c r="L15" s="177">
        <f t="shared" si="1"/>
        <v>0.05</v>
      </c>
      <c r="M15" s="382">
        <f t="shared" si="5"/>
        <v>12</v>
      </c>
      <c r="N15" s="161">
        <f t="shared" si="6"/>
        <v>95424288</v>
      </c>
      <c r="P15" s="54">
        <f t="shared" si="7"/>
        <v>1</v>
      </c>
    </row>
    <row r="16" spans="1:16" ht="14.25">
      <c r="A16" s="54">
        <f>IF(J16=0,0,IF(J16&lt;'Información general'!$F$13*2,H16,0))</f>
        <v>0</v>
      </c>
      <c r="B16" s="378" t="s">
        <v>709</v>
      </c>
      <c r="C16" s="587" t="s">
        <v>710</v>
      </c>
      <c r="D16" s="380">
        <v>1</v>
      </c>
      <c r="E16" s="588">
        <v>7.33</v>
      </c>
      <c r="F16" s="175">
        <v>5654255.6347199995</v>
      </c>
      <c r="G16" s="309">
        <f t="shared" si="0"/>
        <v>5654255.6347199995</v>
      </c>
      <c r="H16" s="382">
        <f t="shared" si="2"/>
        <v>1</v>
      </c>
      <c r="I16" s="382">
        <f t="shared" si="3"/>
        <v>7.33</v>
      </c>
      <c r="J16" s="160">
        <f>ROUND(F16*(1+'Información general'!$F$10),0)</f>
        <v>5936968</v>
      </c>
      <c r="K16" s="160">
        <f t="shared" si="4"/>
        <v>5936968</v>
      </c>
      <c r="L16" s="177">
        <f t="shared" si="1"/>
        <v>0.05</v>
      </c>
      <c r="M16" s="382">
        <f t="shared" si="5"/>
        <v>12</v>
      </c>
      <c r="N16" s="161">
        <f t="shared" si="6"/>
        <v>71243616</v>
      </c>
      <c r="P16" s="54">
        <f t="shared" si="7"/>
        <v>1</v>
      </c>
    </row>
    <row r="17" spans="1:16" ht="14.25">
      <c r="A17" s="54">
        <f>IF(J17=0,0,IF(J17&lt;'Información general'!$F$13*2,H17,0))</f>
        <v>0</v>
      </c>
      <c r="B17" s="378" t="s">
        <v>711</v>
      </c>
      <c r="C17" s="587" t="s">
        <v>712</v>
      </c>
      <c r="D17" s="380">
        <v>1</v>
      </c>
      <c r="E17" s="588">
        <v>7.33</v>
      </c>
      <c r="F17" s="175">
        <v>5054633.59968</v>
      </c>
      <c r="G17" s="309">
        <f t="shared" si="0"/>
        <v>5054633.59968</v>
      </c>
      <c r="H17" s="382">
        <f t="shared" si="2"/>
        <v>1</v>
      </c>
      <c r="I17" s="382">
        <f t="shared" si="3"/>
        <v>7.33</v>
      </c>
      <c r="J17" s="160">
        <f>ROUND(F17*(1+'Información general'!$F$10),0)</f>
        <v>5307365</v>
      </c>
      <c r="K17" s="160">
        <f t="shared" si="4"/>
        <v>5307365</v>
      </c>
      <c r="L17" s="177">
        <f t="shared" si="1"/>
        <v>0.05</v>
      </c>
      <c r="M17" s="382">
        <f t="shared" si="5"/>
        <v>12</v>
      </c>
      <c r="N17" s="161">
        <f t="shared" si="6"/>
        <v>63688380</v>
      </c>
      <c r="P17" s="54">
        <f t="shared" si="7"/>
        <v>1</v>
      </c>
    </row>
    <row r="18" spans="1:16" ht="14.25">
      <c r="A18" s="54">
        <f>IF(J18=0,0,IF(J18&lt;'Información general'!$F$13*2,H18,0))</f>
        <v>0</v>
      </c>
      <c r="B18" s="378" t="s">
        <v>713</v>
      </c>
      <c r="C18" s="587" t="s">
        <v>714</v>
      </c>
      <c r="D18" s="380">
        <v>1</v>
      </c>
      <c r="E18" s="588">
        <v>7.33</v>
      </c>
      <c r="F18" s="175">
        <v>2143787.79384</v>
      </c>
      <c r="G18" s="309">
        <f t="shared" si="0"/>
        <v>2143787.79384</v>
      </c>
      <c r="H18" s="382">
        <f t="shared" si="2"/>
        <v>1</v>
      </c>
      <c r="I18" s="382">
        <f t="shared" si="3"/>
        <v>7.33</v>
      </c>
      <c r="J18" s="160">
        <f>ROUND(F18*(1+'Información general'!$F$10),0)</f>
        <v>2250977</v>
      </c>
      <c r="K18" s="160">
        <f t="shared" si="4"/>
        <v>2250977</v>
      </c>
      <c r="L18" s="177">
        <f t="shared" si="1"/>
        <v>0.05</v>
      </c>
      <c r="M18" s="382">
        <f t="shared" si="5"/>
        <v>12</v>
      </c>
      <c r="N18" s="161">
        <f t="shared" si="6"/>
        <v>27011724</v>
      </c>
      <c r="P18" s="54">
        <f t="shared" si="7"/>
        <v>1</v>
      </c>
    </row>
    <row r="19" spans="1:16" ht="14.25">
      <c r="A19" s="54">
        <f>IF(J19=0,0,IF(J19&lt;'Información general'!$F$13*2,H19,0))</f>
        <v>0</v>
      </c>
      <c r="B19" s="378" t="s">
        <v>715</v>
      </c>
      <c r="C19" s="587" t="s">
        <v>716</v>
      </c>
      <c r="D19" s="380">
        <v>1</v>
      </c>
      <c r="E19" s="588">
        <v>7.33</v>
      </c>
      <c r="F19" s="175">
        <v>2049931.76976</v>
      </c>
      <c r="G19" s="309">
        <f t="shared" si="0"/>
        <v>2049931.76976</v>
      </c>
      <c r="H19" s="382">
        <f t="shared" si="2"/>
        <v>1</v>
      </c>
      <c r="I19" s="382">
        <f t="shared" si="3"/>
        <v>7.33</v>
      </c>
      <c r="J19" s="160">
        <f>ROUND(F19*(1+'Información general'!$F$10),0)</f>
        <v>2152428</v>
      </c>
      <c r="K19" s="160">
        <f t="shared" si="4"/>
        <v>2152428</v>
      </c>
      <c r="L19" s="177">
        <f t="shared" si="1"/>
        <v>0.05</v>
      </c>
      <c r="M19" s="382">
        <f t="shared" si="5"/>
        <v>12</v>
      </c>
      <c r="N19" s="161">
        <f t="shared" si="6"/>
        <v>25829136</v>
      </c>
      <c r="P19" s="54">
        <f t="shared" si="7"/>
        <v>1</v>
      </c>
    </row>
    <row r="20" spans="1:16" ht="15" thickBot="1">
      <c r="A20" s="54">
        <f>IF(J20=0,0,IF(J20&lt;'Información general'!$F$13*2,H20,0))</f>
        <v>0</v>
      </c>
      <c r="B20" s="378" t="s">
        <v>715</v>
      </c>
      <c r="C20" s="587" t="s">
        <v>717</v>
      </c>
      <c r="D20" s="380">
        <v>1</v>
      </c>
      <c r="E20" s="588">
        <v>7.33</v>
      </c>
      <c r="F20" s="175">
        <v>1792198.2909600001</v>
      </c>
      <c r="G20" s="309">
        <f t="shared" si="0"/>
        <v>1792198.2909600001</v>
      </c>
      <c r="H20" s="382">
        <f t="shared" si="2"/>
        <v>1</v>
      </c>
      <c r="I20" s="382">
        <f t="shared" si="3"/>
        <v>7.33</v>
      </c>
      <c r="J20" s="160">
        <f>ROUND(F20*(1+'Información general'!$F$10),0)</f>
        <v>1881808</v>
      </c>
      <c r="K20" s="160">
        <f t="shared" si="4"/>
        <v>1881808</v>
      </c>
      <c r="L20" s="177">
        <f t="shared" si="1"/>
        <v>0.05</v>
      </c>
      <c r="M20" s="382">
        <f t="shared" si="5"/>
        <v>12</v>
      </c>
      <c r="N20" s="161">
        <f t="shared" si="6"/>
        <v>22581696</v>
      </c>
      <c r="P20" s="54">
        <f t="shared" si="7"/>
        <v>1</v>
      </c>
    </row>
    <row r="21" spans="1:16" ht="14.25" hidden="1">
      <c r="A21" s="54">
        <f>IF(J21=0,0,IF(J21&lt;'Información general'!$F$13*2,H21,0))</f>
        <v>0</v>
      </c>
      <c r="B21" s="378"/>
      <c r="C21" s="174"/>
      <c r="D21" s="380"/>
      <c r="E21" s="381"/>
      <c r="F21" s="175"/>
      <c r="G21" s="309">
        <f t="shared" si="0"/>
        <v>0</v>
      </c>
      <c r="H21" s="382">
        <f t="shared" si="2"/>
        <v>0</v>
      </c>
      <c r="I21" s="382">
        <f t="shared" si="3"/>
        <v>0</v>
      </c>
      <c r="J21" s="160">
        <f>ROUND(F21*(1+'Información general'!$F$10),0)</f>
        <v>0</v>
      </c>
      <c r="K21" s="160">
        <f t="shared" si="4"/>
        <v>0</v>
      </c>
      <c r="L21" s="177">
        <f t="shared" si="1"/>
        <v>0</v>
      </c>
      <c r="M21" s="382">
        <f t="shared" si="5"/>
        <v>0</v>
      </c>
      <c r="N21" s="161">
        <f t="shared" si="6"/>
        <v>0</v>
      </c>
      <c r="P21" s="54">
        <f t="shared" si="7"/>
        <v>0</v>
      </c>
    </row>
    <row r="22" spans="1:16" ht="14.25" hidden="1">
      <c r="A22" s="54">
        <f>IF(J22=0,0,IF(J22&lt;'Información general'!$F$13*2,H22,0))</f>
        <v>0</v>
      </c>
      <c r="B22" s="378"/>
      <c r="C22" s="174"/>
      <c r="D22" s="380"/>
      <c r="E22" s="381"/>
      <c r="F22" s="175"/>
      <c r="G22" s="309">
        <f t="shared" si="0"/>
        <v>0</v>
      </c>
      <c r="H22" s="382">
        <f t="shared" si="2"/>
        <v>0</v>
      </c>
      <c r="I22" s="382">
        <f t="shared" si="3"/>
        <v>0</v>
      </c>
      <c r="J22" s="160">
        <f>ROUND(F22*(1+'Información general'!$F$10),0)</f>
        <v>0</v>
      </c>
      <c r="K22" s="160">
        <f t="shared" si="4"/>
        <v>0</v>
      </c>
      <c r="L22" s="177">
        <f t="shared" si="1"/>
        <v>0</v>
      </c>
      <c r="M22" s="382">
        <f t="shared" si="5"/>
        <v>0</v>
      </c>
      <c r="N22" s="161">
        <f t="shared" si="6"/>
        <v>0</v>
      </c>
      <c r="P22" s="54">
        <f t="shared" si="7"/>
        <v>0</v>
      </c>
    </row>
    <row r="23" spans="1:16" ht="14.25" hidden="1">
      <c r="A23" s="54">
        <f>IF(J23=0,0,IF(J23&lt;'Información general'!$F$13*2,H23,0))</f>
        <v>0</v>
      </c>
      <c r="B23" s="378"/>
      <c r="C23" s="174"/>
      <c r="D23" s="380"/>
      <c r="E23" s="381"/>
      <c r="F23" s="175"/>
      <c r="G23" s="309">
        <f t="shared" si="0"/>
        <v>0</v>
      </c>
      <c r="H23" s="382">
        <f t="shared" si="2"/>
        <v>0</v>
      </c>
      <c r="I23" s="382">
        <f t="shared" si="3"/>
        <v>0</v>
      </c>
      <c r="J23" s="160">
        <f>ROUND(F23*(1+'Información general'!$F$10),0)</f>
        <v>0</v>
      </c>
      <c r="K23" s="160">
        <f t="shared" si="4"/>
        <v>0</v>
      </c>
      <c r="L23" s="177">
        <f t="shared" si="1"/>
        <v>0</v>
      </c>
      <c r="M23" s="382">
        <f t="shared" si="5"/>
        <v>0</v>
      </c>
      <c r="N23" s="161">
        <f t="shared" si="6"/>
        <v>0</v>
      </c>
      <c r="P23" s="54">
        <f t="shared" si="7"/>
        <v>0</v>
      </c>
    </row>
    <row r="24" spans="1:16" ht="14.25" hidden="1">
      <c r="A24" s="54">
        <f>IF(J24=0,0,IF(J24&lt;'Información general'!$F$13*2,H24,0))</f>
        <v>0</v>
      </c>
      <c r="B24" s="378"/>
      <c r="C24" s="174"/>
      <c r="D24" s="380"/>
      <c r="E24" s="381"/>
      <c r="F24" s="175"/>
      <c r="G24" s="309">
        <f t="shared" si="0"/>
        <v>0</v>
      </c>
      <c r="H24" s="382">
        <f t="shared" si="2"/>
        <v>0</v>
      </c>
      <c r="I24" s="382">
        <f t="shared" si="3"/>
        <v>0</v>
      </c>
      <c r="J24" s="160">
        <f>ROUND(F24*(1+'Información general'!$F$10),0)</f>
        <v>0</v>
      </c>
      <c r="K24" s="160">
        <f t="shared" si="4"/>
        <v>0</v>
      </c>
      <c r="L24" s="177">
        <f t="shared" si="1"/>
        <v>0</v>
      </c>
      <c r="M24" s="382">
        <f t="shared" si="5"/>
        <v>0</v>
      </c>
      <c r="N24" s="161">
        <f t="shared" si="6"/>
        <v>0</v>
      </c>
      <c r="P24" s="54">
        <f t="shared" si="7"/>
        <v>0</v>
      </c>
    </row>
    <row r="25" spans="1:16" ht="14.25" hidden="1">
      <c r="A25" s="54">
        <f>IF(J25=0,0,IF(J25&lt;'Información general'!$F$13*2,H25,0))</f>
        <v>0</v>
      </c>
      <c r="B25" s="378"/>
      <c r="C25" s="174"/>
      <c r="D25" s="380"/>
      <c r="E25" s="381"/>
      <c r="F25" s="175"/>
      <c r="G25" s="309">
        <f t="shared" si="0"/>
        <v>0</v>
      </c>
      <c r="H25" s="382">
        <f t="shared" si="2"/>
        <v>0</v>
      </c>
      <c r="I25" s="382">
        <f t="shared" si="3"/>
        <v>0</v>
      </c>
      <c r="J25" s="160">
        <f>ROUND(F25*(1+'Información general'!$F$10),0)</f>
        <v>0</v>
      </c>
      <c r="K25" s="160">
        <f t="shared" si="4"/>
        <v>0</v>
      </c>
      <c r="L25" s="177">
        <f t="shared" si="1"/>
        <v>0</v>
      </c>
      <c r="M25" s="382">
        <f t="shared" si="5"/>
        <v>0</v>
      </c>
      <c r="N25" s="161">
        <f t="shared" si="6"/>
        <v>0</v>
      </c>
      <c r="P25" s="54">
        <f t="shared" si="7"/>
        <v>0</v>
      </c>
    </row>
    <row r="26" spans="1:16" ht="14.25" hidden="1">
      <c r="A26" s="54">
        <f>IF(J26=0,0,IF(J26&lt;'Información general'!$F$13*2,H26,0))</f>
        <v>0</v>
      </c>
      <c r="B26" s="378"/>
      <c r="C26" s="174"/>
      <c r="D26" s="380"/>
      <c r="E26" s="381"/>
      <c r="F26" s="175"/>
      <c r="G26" s="309">
        <f t="shared" si="0"/>
        <v>0</v>
      </c>
      <c r="H26" s="382">
        <f t="shared" si="2"/>
        <v>0</v>
      </c>
      <c r="I26" s="382">
        <f t="shared" si="3"/>
        <v>0</v>
      </c>
      <c r="J26" s="160">
        <f>ROUND(F26*(1+'Información general'!$F$10),0)</f>
        <v>0</v>
      </c>
      <c r="K26" s="160">
        <f t="shared" si="4"/>
        <v>0</v>
      </c>
      <c r="L26" s="177">
        <f t="shared" si="1"/>
        <v>0</v>
      </c>
      <c r="M26" s="382">
        <f t="shared" si="5"/>
        <v>0</v>
      </c>
      <c r="N26" s="161">
        <f t="shared" si="6"/>
        <v>0</v>
      </c>
      <c r="P26" s="54">
        <f t="shared" si="7"/>
        <v>0</v>
      </c>
    </row>
    <row r="27" spans="1:16" ht="14.25" hidden="1">
      <c r="A27" s="54">
        <f>IF(J27=0,0,IF(J27&lt;'Información general'!$F$13*2,H27,0))</f>
        <v>0</v>
      </c>
      <c r="B27" s="378"/>
      <c r="C27" s="174"/>
      <c r="D27" s="380"/>
      <c r="E27" s="381"/>
      <c r="F27" s="175"/>
      <c r="G27" s="309">
        <f t="shared" si="0"/>
        <v>0</v>
      </c>
      <c r="H27" s="382">
        <f t="shared" si="2"/>
        <v>0</v>
      </c>
      <c r="I27" s="382">
        <f t="shared" si="3"/>
        <v>0</v>
      </c>
      <c r="J27" s="160">
        <f>ROUND(F27*(1+'Información general'!$F$10),0)</f>
        <v>0</v>
      </c>
      <c r="K27" s="160">
        <f t="shared" si="4"/>
        <v>0</v>
      </c>
      <c r="L27" s="177">
        <f t="shared" si="1"/>
        <v>0</v>
      </c>
      <c r="M27" s="382">
        <f t="shared" si="5"/>
        <v>0</v>
      </c>
      <c r="N27" s="161">
        <f t="shared" si="6"/>
        <v>0</v>
      </c>
      <c r="P27" s="54">
        <f t="shared" si="7"/>
        <v>0</v>
      </c>
    </row>
    <row r="28" spans="1:16" ht="14.25" hidden="1">
      <c r="A28" s="54">
        <f>IF(J28=0,0,IF(J28&lt;'Información general'!$F$13*2,H28,0))</f>
        <v>0</v>
      </c>
      <c r="B28" s="378"/>
      <c r="C28" s="174"/>
      <c r="D28" s="380"/>
      <c r="E28" s="381"/>
      <c r="F28" s="175"/>
      <c r="G28" s="309">
        <f t="shared" si="0"/>
        <v>0</v>
      </c>
      <c r="H28" s="382">
        <f t="shared" si="2"/>
        <v>0</v>
      </c>
      <c r="I28" s="382">
        <f t="shared" si="3"/>
        <v>0</v>
      </c>
      <c r="J28" s="160">
        <f>ROUND(F28*(1+'Información general'!$F$10),0)</f>
        <v>0</v>
      </c>
      <c r="K28" s="160">
        <f t="shared" si="4"/>
        <v>0</v>
      </c>
      <c r="L28" s="177">
        <f t="shared" si="1"/>
        <v>0</v>
      </c>
      <c r="M28" s="382">
        <f t="shared" si="5"/>
        <v>0</v>
      </c>
      <c r="N28" s="161">
        <f t="shared" si="6"/>
        <v>0</v>
      </c>
      <c r="P28" s="54">
        <f t="shared" si="7"/>
        <v>0</v>
      </c>
    </row>
    <row r="29" spans="1:16" ht="14.25" hidden="1">
      <c r="A29" s="54">
        <f>IF(J29=0,0,IF(J29&lt;'Información general'!$F$13*2,H29,0))</f>
        <v>0</v>
      </c>
      <c r="B29" s="378"/>
      <c r="C29" s="174"/>
      <c r="D29" s="380"/>
      <c r="E29" s="381"/>
      <c r="F29" s="175"/>
      <c r="G29" s="309">
        <f t="shared" si="0"/>
        <v>0</v>
      </c>
      <c r="H29" s="382">
        <f t="shared" si="2"/>
        <v>0</v>
      </c>
      <c r="I29" s="382">
        <f t="shared" si="3"/>
        <v>0</v>
      </c>
      <c r="J29" s="160">
        <f>ROUND(F29*(1+'Información general'!$F$10),0)</f>
        <v>0</v>
      </c>
      <c r="K29" s="160">
        <f t="shared" si="4"/>
        <v>0</v>
      </c>
      <c r="L29" s="177">
        <f t="shared" si="1"/>
        <v>0</v>
      </c>
      <c r="M29" s="382">
        <f t="shared" si="5"/>
        <v>0</v>
      </c>
      <c r="N29" s="161">
        <f t="shared" si="6"/>
        <v>0</v>
      </c>
      <c r="P29" s="54">
        <f t="shared" si="7"/>
        <v>0</v>
      </c>
    </row>
    <row r="30" spans="1:16" ht="14.25" hidden="1">
      <c r="A30" s="54">
        <f>IF(J30=0,0,IF(J30&lt;'Información general'!$F$13*2,H30,0))</f>
        <v>0</v>
      </c>
      <c r="B30" s="378"/>
      <c r="C30" s="174"/>
      <c r="D30" s="380"/>
      <c r="E30" s="381"/>
      <c r="F30" s="175"/>
      <c r="G30" s="309">
        <f t="shared" si="0"/>
        <v>0</v>
      </c>
      <c r="H30" s="382">
        <f t="shared" si="2"/>
        <v>0</v>
      </c>
      <c r="I30" s="382">
        <f t="shared" si="3"/>
        <v>0</v>
      </c>
      <c r="J30" s="160">
        <f>ROUND(F30*(1+'Información general'!$F$10),0)</f>
        <v>0</v>
      </c>
      <c r="K30" s="160">
        <f t="shared" si="4"/>
        <v>0</v>
      </c>
      <c r="L30" s="177">
        <f t="shared" si="1"/>
        <v>0</v>
      </c>
      <c r="M30" s="382">
        <f t="shared" si="5"/>
        <v>0</v>
      </c>
      <c r="N30" s="161">
        <f t="shared" si="6"/>
        <v>0</v>
      </c>
      <c r="P30" s="54">
        <f t="shared" si="7"/>
        <v>0</v>
      </c>
    </row>
    <row r="31" spans="1:16" ht="14.25" hidden="1">
      <c r="A31" s="54">
        <f>IF(J31=0,0,IF(J31&lt;'Información general'!$F$13*2,H31,0))</f>
        <v>0</v>
      </c>
      <c r="B31" s="378"/>
      <c r="C31" s="174"/>
      <c r="D31" s="380"/>
      <c r="E31" s="381"/>
      <c r="F31" s="175"/>
      <c r="G31" s="309">
        <f t="shared" si="0"/>
        <v>0</v>
      </c>
      <c r="H31" s="382">
        <f t="shared" si="2"/>
        <v>0</v>
      </c>
      <c r="I31" s="382">
        <f t="shared" si="3"/>
        <v>0</v>
      </c>
      <c r="J31" s="160">
        <f>ROUND(F31*(1+'Información general'!$F$10),0)</f>
        <v>0</v>
      </c>
      <c r="K31" s="160">
        <f t="shared" si="4"/>
        <v>0</v>
      </c>
      <c r="L31" s="177">
        <f t="shared" si="1"/>
        <v>0</v>
      </c>
      <c r="M31" s="382">
        <f t="shared" si="5"/>
        <v>0</v>
      </c>
      <c r="N31" s="161">
        <f t="shared" si="6"/>
        <v>0</v>
      </c>
      <c r="P31" s="54">
        <f t="shared" si="7"/>
        <v>0</v>
      </c>
    </row>
    <row r="32" spans="1:16" ht="14.25" hidden="1">
      <c r="A32" s="54">
        <f>IF(J32=0,0,IF(J32&lt;'Información general'!$F$13*2,H32,0))</f>
        <v>0</v>
      </c>
      <c r="B32" s="378"/>
      <c r="C32" s="174"/>
      <c r="D32" s="380"/>
      <c r="E32" s="381"/>
      <c r="F32" s="175"/>
      <c r="G32" s="309">
        <f t="shared" si="0"/>
        <v>0</v>
      </c>
      <c r="H32" s="382">
        <f t="shared" si="2"/>
        <v>0</v>
      </c>
      <c r="I32" s="382">
        <f t="shared" si="3"/>
        <v>0</v>
      </c>
      <c r="J32" s="160">
        <f>ROUND(F32*(1+'Información general'!$F$10),0)</f>
        <v>0</v>
      </c>
      <c r="K32" s="160">
        <f t="shared" si="4"/>
        <v>0</v>
      </c>
      <c r="L32" s="177">
        <f t="shared" si="1"/>
        <v>0</v>
      </c>
      <c r="M32" s="382">
        <f t="shared" si="5"/>
        <v>0</v>
      </c>
      <c r="N32" s="161">
        <f t="shared" si="6"/>
        <v>0</v>
      </c>
      <c r="P32" s="54">
        <f t="shared" si="7"/>
        <v>0</v>
      </c>
    </row>
    <row r="33" spans="1:16" ht="14.25" hidden="1">
      <c r="A33" s="54">
        <f>IF(J33=0,0,IF(J33&lt;'Información general'!$F$13*2,H33,0))</f>
        <v>0</v>
      </c>
      <c r="B33" s="378"/>
      <c r="C33" s="174"/>
      <c r="D33" s="380"/>
      <c r="E33" s="381"/>
      <c r="F33" s="175"/>
      <c r="G33" s="309">
        <f t="shared" si="0"/>
        <v>0</v>
      </c>
      <c r="H33" s="382">
        <f t="shared" si="2"/>
        <v>0</v>
      </c>
      <c r="I33" s="382">
        <f t="shared" si="3"/>
        <v>0</v>
      </c>
      <c r="J33" s="160">
        <f>ROUND(F33*(1+'Información general'!$F$10),0)</f>
        <v>0</v>
      </c>
      <c r="K33" s="160">
        <f t="shared" si="4"/>
        <v>0</v>
      </c>
      <c r="L33" s="177">
        <f t="shared" si="1"/>
        <v>0</v>
      </c>
      <c r="M33" s="382">
        <f t="shared" si="5"/>
        <v>0</v>
      </c>
      <c r="N33" s="161">
        <f t="shared" si="6"/>
        <v>0</v>
      </c>
      <c r="P33" s="54">
        <f t="shared" si="7"/>
        <v>0</v>
      </c>
    </row>
    <row r="34" spans="1:16" ht="14.25" hidden="1">
      <c r="A34" s="54">
        <f>IF(J34=0,0,IF(J34&lt;'Información general'!$F$13*2,H34,0))</f>
        <v>0</v>
      </c>
      <c r="B34" s="378"/>
      <c r="C34" s="174"/>
      <c r="D34" s="380"/>
      <c r="E34" s="381"/>
      <c r="F34" s="175"/>
      <c r="G34" s="309">
        <f t="shared" si="0"/>
        <v>0</v>
      </c>
      <c r="H34" s="382">
        <f t="shared" si="2"/>
        <v>0</v>
      </c>
      <c r="I34" s="382">
        <f t="shared" si="3"/>
        <v>0</v>
      </c>
      <c r="J34" s="160">
        <f>ROUND(F34*(1+'Información general'!$F$10),0)</f>
        <v>0</v>
      </c>
      <c r="K34" s="160">
        <f t="shared" si="4"/>
        <v>0</v>
      </c>
      <c r="L34" s="177">
        <f t="shared" si="1"/>
        <v>0</v>
      </c>
      <c r="M34" s="382">
        <f t="shared" si="5"/>
        <v>0</v>
      </c>
      <c r="N34" s="161">
        <f t="shared" si="6"/>
        <v>0</v>
      </c>
      <c r="P34" s="54">
        <f t="shared" si="7"/>
        <v>0</v>
      </c>
    </row>
    <row r="35" spans="1:16" ht="14.25" hidden="1">
      <c r="A35" s="54">
        <f>IF(J35=0,0,IF(J35&lt;'Información general'!$F$13*2,H35,0))</f>
        <v>0</v>
      </c>
      <c r="B35" s="378"/>
      <c r="C35" s="174"/>
      <c r="D35" s="380"/>
      <c r="E35" s="381"/>
      <c r="F35" s="175"/>
      <c r="G35" s="309">
        <f t="shared" si="0"/>
        <v>0</v>
      </c>
      <c r="H35" s="382">
        <f t="shared" si="2"/>
        <v>0</v>
      </c>
      <c r="I35" s="382">
        <f t="shared" si="3"/>
        <v>0</v>
      </c>
      <c r="J35" s="160">
        <f>ROUND(F35*(1+'Información general'!$F$10),0)</f>
        <v>0</v>
      </c>
      <c r="K35" s="160">
        <f t="shared" si="4"/>
        <v>0</v>
      </c>
      <c r="L35" s="177">
        <f t="shared" si="1"/>
        <v>0</v>
      </c>
      <c r="M35" s="382">
        <f t="shared" si="5"/>
        <v>0</v>
      </c>
      <c r="N35" s="161">
        <f t="shared" si="6"/>
        <v>0</v>
      </c>
      <c r="P35" s="54">
        <f t="shared" si="7"/>
        <v>0</v>
      </c>
    </row>
    <row r="36" spans="1:16" ht="14.25" hidden="1">
      <c r="A36" s="54">
        <f>IF(J36=0,0,IF(J36&lt;'Información general'!$F$13*2,H36,0))</f>
        <v>0</v>
      </c>
      <c r="B36" s="378"/>
      <c r="C36" s="174"/>
      <c r="D36" s="380"/>
      <c r="E36" s="381"/>
      <c r="F36" s="175"/>
      <c r="G36" s="309">
        <f t="shared" si="0"/>
        <v>0</v>
      </c>
      <c r="H36" s="382">
        <f t="shared" si="2"/>
        <v>0</v>
      </c>
      <c r="I36" s="382">
        <f t="shared" si="3"/>
        <v>0</v>
      </c>
      <c r="J36" s="160">
        <f>ROUND(F36*(1+'Información general'!$F$10),0)</f>
        <v>0</v>
      </c>
      <c r="K36" s="160">
        <f t="shared" si="4"/>
        <v>0</v>
      </c>
      <c r="L36" s="177">
        <f t="shared" si="1"/>
        <v>0</v>
      </c>
      <c r="M36" s="382">
        <f t="shared" si="5"/>
        <v>0</v>
      </c>
      <c r="N36" s="161">
        <f t="shared" si="6"/>
        <v>0</v>
      </c>
      <c r="P36" s="54">
        <f t="shared" si="7"/>
        <v>0</v>
      </c>
    </row>
    <row r="37" spans="1:16" ht="14.25" hidden="1">
      <c r="A37" s="54">
        <f>IF(J37=0,0,IF(J37&lt;'Información general'!$F$13*2,H37,0))</f>
        <v>0</v>
      </c>
      <c r="B37" s="378"/>
      <c r="C37" s="174"/>
      <c r="D37" s="380"/>
      <c r="E37" s="381"/>
      <c r="F37" s="175"/>
      <c r="G37" s="309">
        <f t="shared" si="0"/>
        <v>0</v>
      </c>
      <c r="H37" s="382">
        <f t="shared" si="2"/>
        <v>0</v>
      </c>
      <c r="I37" s="382">
        <f t="shared" si="3"/>
        <v>0</v>
      </c>
      <c r="J37" s="160">
        <f>ROUND(F37*(1+'Información general'!$F$10),0)</f>
        <v>0</v>
      </c>
      <c r="K37" s="160">
        <f t="shared" si="4"/>
        <v>0</v>
      </c>
      <c r="L37" s="177">
        <f t="shared" si="1"/>
        <v>0</v>
      </c>
      <c r="M37" s="382">
        <f t="shared" si="5"/>
        <v>0</v>
      </c>
      <c r="N37" s="161">
        <f t="shared" si="6"/>
        <v>0</v>
      </c>
      <c r="P37" s="54">
        <f t="shared" si="7"/>
        <v>0</v>
      </c>
    </row>
    <row r="38" spans="1:16" ht="14.25" hidden="1">
      <c r="A38" s="54">
        <f>IF(J38=0,0,IF(J38&lt;'Información general'!$F$13*2,H38,0))</f>
        <v>0</v>
      </c>
      <c r="B38" s="378"/>
      <c r="C38" s="174"/>
      <c r="D38" s="380"/>
      <c r="E38" s="381"/>
      <c r="F38" s="175"/>
      <c r="G38" s="309">
        <f t="shared" si="0"/>
        <v>0</v>
      </c>
      <c r="H38" s="382">
        <f t="shared" si="2"/>
        <v>0</v>
      </c>
      <c r="I38" s="382">
        <f t="shared" si="3"/>
        <v>0</v>
      </c>
      <c r="J38" s="160">
        <f>ROUND(F38*(1+'Información general'!$F$10),0)</f>
        <v>0</v>
      </c>
      <c r="K38" s="160">
        <f t="shared" si="4"/>
        <v>0</v>
      </c>
      <c r="L38" s="177">
        <f t="shared" si="1"/>
        <v>0</v>
      </c>
      <c r="M38" s="382">
        <f t="shared" si="5"/>
        <v>0</v>
      </c>
      <c r="N38" s="161">
        <f t="shared" si="6"/>
        <v>0</v>
      </c>
      <c r="P38" s="54">
        <f t="shared" si="7"/>
        <v>0</v>
      </c>
    </row>
    <row r="39" spans="1:16" ht="14.25" hidden="1">
      <c r="A39" s="54">
        <f>IF(J39=0,0,IF(J39&lt;'Información general'!$F$13*2,H39,0))</f>
        <v>0</v>
      </c>
      <c r="B39" s="378"/>
      <c r="C39" s="174"/>
      <c r="D39" s="380"/>
      <c r="E39" s="381"/>
      <c r="F39" s="175"/>
      <c r="G39" s="309">
        <f t="shared" si="0"/>
        <v>0</v>
      </c>
      <c r="H39" s="382">
        <f aca="true" t="shared" si="8" ref="H39:H70">D39</f>
        <v>0</v>
      </c>
      <c r="I39" s="382">
        <f aca="true" t="shared" si="9" ref="I39:I70">+E39</f>
        <v>0</v>
      </c>
      <c r="J39" s="160">
        <f>ROUND(F39*(1+'Información general'!$F$10),0)</f>
        <v>0</v>
      </c>
      <c r="K39" s="160">
        <f t="shared" si="4"/>
        <v>0</v>
      </c>
      <c r="L39" s="177">
        <f aca="true" t="shared" si="10" ref="L39:L70">IF(H39=0,0,ROUND((IF(G39=0," ",+(J39/F39-1)*100)),3))/100</f>
        <v>0</v>
      </c>
      <c r="M39" s="382">
        <f t="shared" si="5"/>
        <v>0</v>
      </c>
      <c r="N39" s="161">
        <f t="shared" si="6"/>
        <v>0</v>
      </c>
      <c r="P39" s="54">
        <f t="shared" si="7"/>
        <v>0</v>
      </c>
    </row>
    <row r="40" spans="1:16" ht="14.25" hidden="1">
      <c r="A40" s="54">
        <f>IF(J40=0,0,IF(J40&lt;'Información general'!$F$13*2,H40,0))</f>
        <v>0</v>
      </c>
      <c r="B40" s="378"/>
      <c r="C40" s="174"/>
      <c r="D40" s="380"/>
      <c r="E40" s="381"/>
      <c r="F40" s="175"/>
      <c r="G40" s="309">
        <f t="shared" si="0"/>
        <v>0</v>
      </c>
      <c r="H40" s="382">
        <f t="shared" si="8"/>
        <v>0</v>
      </c>
      <c r="I40" s="382">
        <f t="shared" si="9"/>
        <v>0</v>
      </c>
      <c r="J40" s="160">
        <f>ROUND(F40*(1+'Información general'!$F$10),0)</f>
        <v>0</v>
      </c>
      <c r="K40" s="160">
        <f t="shared" si="4"/>
        <v>0</v>
      </c>
      <c r="L40" s="177">
        <f t="shared" si="10"/>
        <v>0</v>
      </c>
      <c r="M40" s="382">
        <f t="shared" si="5"/>
        <v>0</v>
      </c>
      <c r="N40" s="161">
        <f t="shared" si="6"/>
        <v>0</v>
      </c>
      <c r="P40" s="54">
        <f t="shared" si="7"/>
        <v>0</v>
      </c>
    </row>
    <row r="41" spans="1:16" ht="14.25" hidden="1">
      <c r="A41" s="54">
        <f>IF(J41=0,0,IF(J41&lt;'Información general'!$F$13*2,H41,0))</f>
        <v>0</v>
      </c>
      <c r="B41" s="378"/>
      <c r="C41" s="174"/>
      <c r="D41" s="380"/>
      <c r="E41" s="381"/>
      <c r="F41" s="175"/>
      <c r="G41" s="309">
        <f t="shared" si="0"/>
        <v>0</v>
      </c>
      <c r="H41" s="382">
        <f t="shared" si="8"/>
        <v>0</v>
      </c>
      <c r="I41" s="382">
        <f t="shared" si="9"/>
        <v>0</v>
      </c>
      <c r="J41" s="160">
        <f>ROUND(F41*(1+'Información general'!$F$10),0)</f>
        <v>0</v>
      </c>
      <c r="K41" s="160">
        <f t="shared" si="4"/>
        <v>0</v>
      </c>
      <c r="L41" s="177">
        <f t="shared" si="10"/>
        <v>0</v>
      </c>
      <c r="M41" s="382">
        <f t="shared" si="5"/>
        <v>0</v>
      </c>
      <c r="N41" s="161">
        <f t="shared" si="6"/>
        <v>0</v>
      </c>
      <c r="P41" s="54">
        <f t="shared" si="7"/>
        <v>0</v>
      </c>
    </row>
    <row r="42" spans="1:16" ht="14.25" hidden="1">
      <c r="A42" s="54">
        <f>IF(J42=0,0,IF(J42&lt;'Información general'!$F$13*2,H42,0))</f>
        <v>0</v>
      </c>
      <c r="B42" s="378"/>
      <c r="C42" s="174"/>
      <c r="D42" s="380"/>
      <c r="E42" s="381"/>
      <c r="F42" s="175"/>
      <c r="G42" s="309">
        <f t="shared" si="0"/>
        <v>0</v>
      </c>
      <c r="H42" s="382">
        <f t="shared" si="8"/>
        <v>0</v>
      </c>
      <c r="I42" s="382">
        <f t="shared" si="9"/>
        <v>0</v>
      </c>
      <c r="J42" s="160">
        <f>ROUND(F42*(1+'Información general'!$F$10),0)</f>
        <v>0</v>
      </c>
      <c r="K42" s="160">
        <f t="shared" si="4"/>
        <v>0</v>
      </c>
      <c r="L42" s="177">
        <f t="shared" si="10"/>
        <v>0</v>
      </c>
      <c r="M42" s="382">
        <f t="shared" si="5"/>
        <v>0</v>
      </c>
      <c r="N42" s="161">
        <f t="shared" si="6"/>
        <v>0</v>
      </c>
      <c r="P42" s="54">
        <f t="shared" si="7"/>
        <v>0</v>
      </c>
    </row>
    <row r="43" spans="1:16" ht="14.25" hidden="1">
      <c r="A43" s="54">
        <f>IF(J43=0,0,IF(J43&lt;'Información general'!$F$13*2,H43,0))</f>
        <v>0</v>
      </c>
      <c r="B43" s="378"/>
      <c r="C43" s="174"/>
      <c r="D43" s="380"/>
      <c r="E43" s="381"/>
      <c r="F43" s="175"/>
      <c r="G43" s="309">
        <f t="shared" si="0"/>
        <v>0</v>
      </c>
      <c r="H43" s="382">
        <f t="shared" si="8"/>
        <v>0</v>
      </c>
      <c r="I43" s="382">
        <f t="shared" si="9"/>
        <v>0</v>
      </c>
      <c r="J43" s="160">
        <f>ROUND(F43*(1+'Información general'!$F$10),0)</f>
        <v>0</v>
      </c>
      <c r="K43" s="160">
        <f t="shared" si="4"/>
        <v>0</v>
      </c>
      <c r="L43" s="177">
        <f t="shared" si="10"/>
        <v>0</v>
      </c>
      <c r="M43" s="382">
        <f t="shared" si="5"/>
        <v>0</v>
      </c>
      <c r="N43" s="161">
        <f t="shared" si="6"/>
        <v>0</v>
      </c>
      <c r="P43" s="54">
        <f t="shared" si="7"/>
        <v>0</v>
      </c>
    </row>
    <row r="44" spans="1:16" ht="14.25" hidden="1">
      <c r="A44" s="54">
        <f>IF(J44=0,0,IF(J44&lt;'Información general'!$F$13*2,H44,0))</f>
        <v>0</v>
      </c>
      <c r="B44" s="378"/>
      <c r="C44" s="174"/>
      <c r="D44" s="380"/>
      <c r="E44" s="381"/>
      <c r="F44" s="175"/>
      <c r="G44" s="309">
        <f t="shared" si="0"/>
        <v>0</v>
      </c>
      <c r="H44" s="382">
        <f t="shared" si="8"/>
        <v>0</v>
      </c>
      <c r="I44" s="382">
        <f t="shared" si="9"/>
        <v>0</v>
      </c>
      <c r="J44" s="160">
        <f>ROUND(F44*(1+'Información general'!$F$10),0)</f>
        <v>0</v>
      </c>
      <c r="K44" s="160">
        <f t="shared" si="4"/>
        <v>0</v>
      </c>
      <c r="L44" s="177">
        <f t="shared" si="10"/>
        <v>0</v>
      </c>
      <c r="M44" s="382">
        <f t="shared" si="5"/>
        <v>0</v>
      </c>
      <c r="N44" s="161">
        <f t="shared" si="6"/>
        <v>0</v>
      </c>
      <c r="P44" s="54">
        <f t="shared" si="7"/>
        <v>0</v>
      </c>
    </row>
    <row r="45" spans="1:16" ht="14.25" hidden="1">
      <c r="A45" s="54">
        <f>IF(J45=0,0,IF(J45&lt;'Información general'!$F$13*2,H45,0))</f>
        <v>0</v>
      </c>
      <c r="B45" s="378"/>
      <c r="C45" s="174"/>
      <c r="D45" s="380"/>
      <c r="E45" s="381"/>
      <c r="F45" s="175"/>
      <c r="G45" s="309">
        <f t="shared" si="0"/>
        <v>0</v>
      </c>
      <c r="H45" s="382">
        <f t="shared" si="8"/>
        <v>0</v>
      </c>
      <c r="I45" s="382">
        <f t="shared" si="9"/>
        <v>0</v>
      </c>
      <c r="J45" s="160">
        <f>ROUND(F45*(1+'Información general'!$F$10),0)</f>
        <v>0</v>
      </c>
      <c r="K45" s="160">
        <f t="shared" si="4"/>
        <v>0</v>
      </c>
      <c r="L45" s="177">
        <f t="shared" si="10"/>
        <v>0</v>
      </c>
      <c r="M45" s="382">
        <f t="shared" si="5"/>
        <v>0</v>
      </c>
      <c r="N45" s="161">
        <f t="shared" si="6"/>
        <v>0</v>
      </c>
      <c r="P45" s="54">
        <f t="shared" si="7"/>
        <v>0</v>
      </c>
    </row>
    <row r="46" spans="1:16" ht="14.25" hidden="1">
      <c r="A46" s="54">
        <f>IF(J46=0,0,IF(J46&lt;'Información general'!$F$13*2,H46,0))</f>
        <v>0</v>
      </c>
      <c r="B46" s="378"/>
      <c r="C46" s="174"/>
      <c r="D46" s="380"/>
      <c r="E46" s="381"/>
      <c r="F46" s="175"/>
      <c r="G46" s="309">
        <f t="shared" si="0"/>
        <v>0</v>
      </c>
      <c r="H46" s="382">
        <f t="shared" si="8"/>
        <v>0</v>
      </c>
      <c r="I46" s="382">
        <f t="shared" si="9"/>
        <v>0</v>
      </c>
      <c r="J46" s="160">
        <f>ROUND(F46*(1+'Información general'!$F$10),0)</f>
        <v>0</v>
      </c>
      <c r="K46" s="160">
        <f t="shared" si="4"/>
        <v>0</v>
      </c>
      <c r="L46" s="177">
        <f t="shared" si="10"/>
        <v>0</v>
      </c>
      <c r="M46" s="382">
        <f t="shared" si="5"/>
        <v>0</v>
      </c>
      <c r="N46" s="161">
        <f t="shared" si="6"/>
        <v>0</v>
      </c>
      <c r="P46" s="54">
        <f t="shared" si="7"/>
        <v>0</v>
      </c>
    </row>
    <row r="47" spans="1:16" ht="14.25" hidden="1">
      <c r="A47" s="54">
        <f>IF(J47=0,0,IF(J47&lt;'Información general'!$F$13*2,H47,0))</f>
        <v>0</v>
      </c>
      <c r="B47" s="378"/>
      <c r="C47" s="174"/>
      <c r="D47" s="380"/>
      <c r="E47" s="381"/>
      <c r="F47" s="175"/>
      <c r="G47" s="309">
        <f t="shared" si="0"/>
        <v>0</v>
      </c>
      <c r="H47" s="382">
        <f t="shared" si="8"/>
        <v>0</v>
      </c>
      <c r="I47" s="382">
        <f t="shared" si="9"/>
        <v>0</v>
      </c>
      <c r="J47" s="160">
        <f>ROUND(F47*(1+'Información general'!$F$10),0)</f>
        <v>0</v>
      </c>
      <c r="K47" s="160">
        <f t="shared" si="4"/>
        <v>0</v>
      </c>
      <c r="L47" s="177">
        <f t="shared" si="10"/>
        <v>0</v>
      </c>
      <c r="M47" s="382">
        <f t="shared" si="5"/>
        <v>0</v>
      </c>
      <c r="N47" s="161">
        <f t="shared" si="6"/>
        <v>0</v>
      </c>
      <c r="P47" s="54">
        <f t="shared" si="7"/>
        <v>0</v>
      </c>
    </row>
    <row r="48" spans="1:16" ht="14.25" hidden="1">
      <c r="A48" s="54">
        <f>IF(J48=0,0,IF(J48&lt;'Información general'!$F$13*2,H48,0))</f>
        <v>0</v>
      </c>
      <c r="B48" s="378"/>
      <c r="C48" s="174"/>
      <c r="D48" s="380"/>
      <c r="E48" s="381"/>
      <c r="F48" s="175"/>
      <c r="G48" s="309">
        <f t="shared" si="0"/>
        <v>0</v>
      </c>
      <c r="H48" s="382">
        <f t="shared" si="8"/>
        <v>0</v>
      </c>
      <c r="I48" s="382">
        <f t="shared" si="9"/>
        <v>0</v>
      </c>
      <c r="J48" s="160">
        <f>ROUND(F48*(1+'Información general'!$F$10),0)</f>
        <v>0</v>
      </c>
      <c r="K48" s="160">
        <f t="shared" si="4"/>
        <v>0</v>
      </c>
      <c r="L48" s="177">
        <f t="shared" si="10"/>
        <v>0</v>
      </c>
      <c r="M48" s="382">
        <f t="shared" si="5"/>
        <v>0</v>
      </c>
      <c r="N48" s="161">
        <f t="shared" si="6"/>
        <v>0</v>
      </c>
      <c r="P48" s="54">
        <f t="shared" si="7"/>
        <v>0</v>
      </c>
    </row>
    <row r="49" spans="1:16" ht="14.25" hidden="1">
      <c r="A49" s="54">
        <f>IF(J49=0,0,IF(J49&lt;'Información general'!$F$13*2,H49,0))</f>
        <v>0</v>
      </c>
      <c r="B49" s="378"/>
      <c r="C49" s="174"/>
      <c r="D49" s="380"/>
      <c r="E49" s="381"/>
      <c r="F49" s="175"/>
      <c r="G49" s="309">
        <f t="shared" si="0"/>
        <v>0</v>
      </c>
      <c r="H49" s="382">
        <f t="shared" si="8"/>
        <v>0</v>
      </c>
      <c r="I49" s="382">
        <f t="shared" si="9"/>
        <v>0</v>
      </c>
      <c r="J49" s="160">
        <f>ROUND(F49*(1+'Información general'!$F$10),0)</f>
        <v>0</v>
      </c>
      <c r="K49" s="160">
        <f t="shared" si="4"/>
        <v>0</v>
      </c>
      <c r="L49" s="177">
        <f t="shared" si="10"/>
        <v>0</v>
      </c>
      <c r="M49" s="382">
        <f t="shared" si="5"/>
        <v>0</v>
      </c>
      <c r="N49" s="161">
        <f t="shared" si="6"/>
        <v>0</v>
      </c>
      <c r="P49" s="54">
        <f t="shared" si="7"/>
        <v>0</v>
      </c>
    </row>
    <row r="50" spans="1:16" ht="14.25" hidden="1">
      <c r="A50" s="54">
        <f>IF(J50=0,0,IF(J50&lt;'Información general'!$F$13*2,H50,0))</f>
        <v>0</v>
      </c>
      <c r="B50" s="378"/>
      <c r="C50" s="174"/>
      <c r="D50" s="380"/>
      <c r="E50" s="381"/>
      <c r="F50" s="175"/>
      <c r="G50" s="309">
        <f t="shared" si="0"/>
        <v>0</v>
      </c>
      <c r="H50" s="382">
        <f t="shared" si="8"/>
        <v>0</v>
      </c>
      <c r="I50" s="382">
        <f t="shared" si="9"/>
        <v>0</v>
      </c>
      <c r="J50" s="160">
        <f>ROUND(F50*(1+'Información general'!$F$10),0)</f>
        <v>0</v>
      </c>
      <c r="K50" s="160">
        <f t="shared" si="4"/>
        <v>0</v>
      </c>
      <c r="L50" s="177">
        <f t="shared" si="10"/>
        <v>0</v>
      </c>
      <c r="M50" s="382">
        <f t="shared" si="5"/>
        <v>0</v>
      </c>
      <c r="N50" s="161">
        <f t="shared" si="6"/>
        <v>0</v>
      </c>
      <c r="P50" s="54">
        <f t="shared" si="7"/>
        <v>0</v>
      </c>
    </row>
    <row r="51" spans="1:16" ht="14.25" hidden="1">
      <c r="A51" s="54">
        <f>IF(J51=0,0,IF(J51&lt;'Información general'!$F$13*2,H51,0))</f>
        <v>0</v>
      </c>
      <c r="B51" s="378"/>
      <c r="C51" s="174"/>
      <c r="D51" s="380"/>
      <c r="E51" s="381"/>
      <c r="F51" s="175"/>
      <c r="G51" s="309">
        <f t="shared" si="0"/>
        <v>0</v>
      </c>
      <c r="H51" s="382">
        <f t="shared" si="8"/>
        <v>0</v>
      </c>
      <c r="I51" s="382">
        <f t="shared" si="9"/>
        <v>0</v>
      </c>
      <c r="J51" s="160">
        <f>ROUND(F51*(1+'Información general'!$F$10),0)</f>
        <v>0</v>
      </c>
      <c r="K51" s="160">
        <f t="shared" si="4"/>
        <v>0</v>
      </c>
      <c r="L51" s="177">
        <f t="shared" si="10"/>
        <v>0</v>
      </c>
      <c r="M51" s="382">
        <f t="shared" si="5"/>
        <v>0</v>
      </c>
      <c r="N51" s="161">
        <f t="shared" si="6"/>
        <v>0</v>
      </c>
      <c r="P51" s="54">
        <f t="shared" si="7"/>
        <v>0</v>
      </c>
    </row>
    <row r="52" spans="1:16" ht="14.25" hidden="1">
      <c r="A52" s="54">
        <f>IF(J52=0,0,IF(J52&lt;'Información general'!$F$13*2,H52,0))</f>
        <v>0</v>
      </c>
      <c r="B52" s="378"/>
      <c r="C52" s="174"/>
      <c r="D52" s="380"/>
      <c r="E52" s="381"/>
      <c r="F52" s="175"/>
      <c r="G52" s="309">
        <f t="shared" si="0"/>
        <v>0</v>
      </c>
      <c r="H52" s="382">
        <f t="shared" si="8"/>
        <v>0</v>
      </c>
      <c r="I52" s="382">
        <f t="shared" si="9"/>
        <v>0</v>
      </c>
      <c r="J52" s="160">
        <f>ROUND(F52*(1+'Información general'!$F$10),0)</f>
        <v>0</v>
      </c>
      <c r="K52" s="160">
        <f t="shared" si="4"/>
        <v>0</v>
      </c>
      <c r="L52" s="177">
        <f t="shared" si="10"/>
        <v>0</v>
      </c>
      <c r="M52" s="382">
        <f t="shared" si="5"/>
        <v>0</v>
      </c>
      <c r="N52" s="161">
        <f t="shared" si="6"/>
        <v>0</v>
      </c>
      <c r="P52" s="54">
        <f t="shared" si="7"/>
        <v>0</v>
      </c>
    </row>
    <row r="53" spans="1:16" ht="14.25" hidden="1">
      <c r="A53" s="54">
        <f>IF(J53=0,0,IF(J53&lt;'Información general'!$F$13*2,H53,0))</f>
        <v>0</v>
      </c>
      <c r="B53" s="378"/>
      <c r="C53" s="174"/>
      <c r="D53" s="380"/>
      <c r="E53" s="381"/>
      <c r="F53" s="175"/>
      <c r="G53" s="309">
        <f t="shared" si="0"/>
        <v>0</v>
      </c>
      <c r="H53" s="382">
        <f t="shared" si="8"/>
        <v>0</v>
      </c>
      <c r="I53" s="382">
        <f t="shared" si="9"/>
        <v>0</v>
      </c>
      <c r="J53" s="160">
        <f>ROUND(F53*(1+'Información general'!$F$10),0)</f>
        <v>0</v>
      </c>
      <c r="K53" s="160">
        <f t="shared" si="4"/>
        <v>0</v>
      </c>
      <c r="L53" s="177">
        <f t="shared" si="10"/>
        <v>0</v>
      </c>
      <c r="M53" s="382">
        <f t="shared" si="5"/>
        <v>0</v>
      </c>
      <c r="N53" s="161">
        <f t="shared" si="6"/>
        <v>0</v>
      </c>
      <c r="P53" s="54">
        <f t="shared" si="7"/>
        <v>0</v>
      </c>
    </row>
    <row r="54" spans="1:16" ht="14.25" hidden="1">
      <c r="A54" s="54">
        <f>IF(J54=0,0,IF(J54&lt;'Información general'!$F$13*2,H54,0))</f>
        <v>0</v>
      </c>
      <c r="B54" s="378"/>
      <c r="C54" s="174"/>
      <c r="D54" s="380"/>
      <c r="E54" s="381"/>
      <c r="F54" s="175"/>
      <c r="G54" s="309">
        <f t="shared" si="0"/>
        <v>0</v>
      </c>
      <c r="H54" s="382">
        <f t="shared" si="8"/>
        <v>0</v>
      </c>
      <c r="I54" s="382">
        <f t="shared" si="9"/>
        <v>0</v>
      </c>
      <c r="J54" s="160">
        <f>ROUND(F54*(1+'Información general'!$F$10),0)</f>
        <v>0</v>
      </c>
      <c r="K54" s="160">
        <f t="shared" si="4"/>
        <v>0</v>
      </c>
      <c r="L54" s="177">
        <f t="shared" si="10"/>
        <v>0</v>
      </c>
      <c r="M54" s="382">
        <f t="shared" si="5"/>
        <v>0</v>
      </c>
      <c r="N54" s="161">
        <f t="shared" si="6"/>
        <v>0</v>
      </c>
      <c r="P54" s="54">
        <f t="shared" si="7"/>
        <v>0</v>
      </c>
    </row>
    <row r="55" spans="1:16" ht="14.25" hidden="1">
      <c r="A55" s="54">
        <f>IF(J55=0,0,IF(J55&lt;'Información general'!$F$13*2,H55,0))</f>
        <v>0</v>
      </c>
      <c r="B55" s="378"/>
      <c r="C55" s="174"/>
      <c r="D55" s="380"/>
      <c r="E55" s="381"/>
      <c r="F55" s="175"/>
      <c r="G55" s="309">
        <f t="shared" si="0"/>
        <v>0</v>
      </c>
      <c r="H55" s="382">
        <f t="shared" si="8"/>
        <v>0</v>
      </c>
      <c r="I55" s="382">
        <f t="shared" si="9"/>
        <v>0</v>
      </c>
      <c r="J55" s="160">
        <f>ROUND(F55*(1+'Información general'!$F$10),0)</f>
        <v>0</v>
      </c>
      <c r="K55" s="160">
        <f t="shared" si="4"/>
        <v>0</v>
      </c>
      <c r="L55" s="177">
        <f t="shared" si="10"/>
        <v>0</v>
      </c>
      <c r="M55" s="382">
        <f t="shared" si="5"/>
        <v>0</v>
      </c>
      <c r="N55" s="161">
        <f t="shared" si="6"/>
        <v>0</v>
      </c>
      <c r="P55" s="54">
        <f t="shared" si="7"/>
        <v>0</v>
      </c>
    </row>
    <row r="56" spans="1:16" ht="14.25" hidden="1">
      <c r="A56" s="54">
        <f>IF(J56=0,0,IF(J56&lt;'Información general'!$F$13*2,H56,0))</f>
        <v>0</v>
      </c>
      <c r="B56" s="378"/>
      <c r="C56" s="174"/>
      <c r="D56" s="380"/>
      <c r="E56" s="381"/>
      <c r="F56" s="175"/>
      <c r="G56" s="309">
        <f t="shared" si="0"/>
        <v>0</v>
      </c>
      <c r="H56" s="382">
        <f t="shared" si="8"/>
        <v>0</v>
      </c>
      <c r="I56" s="382">
        <f t="shared" si="9"/>
        <v>0</v>
      </c>
      <c r="J56" s="160">
        <f>ROUND(F56*(1+'Información general'!$F$10),0)</f>
        <v>0</v>
      </c>
      <c r="K56" s="160">
        <f t="shared" si="4"/>
        <v>0</v>
      </c>
      <c r="L56" s="177">
        <f t="shared" si="10"/>
        <v>0</v>
      </c>
      <c r="M56" s="382">
        <f t="shared" si="5"/>
        <v>0</v>
      </c>
      <c r="N56" s="161">
        <f t="shared" si="6"/>
        <v>0</v>
      </c>
      <c r="P56" s="54">
        <f t="shared" si="7"/>
        <v>0</v>
      </c>
    </row>
    <row r="57" spans="1:16" ht="14.25" hidden="1">
      <c r="A57" s="54">
        <f>IF(J57=0,0,IF(J57&lt;'Información general'!$F$13*2,H57,0))</f>
        <v>0</v>
      </c>
      <c r="B57" s="378"/>
      <c r="C57" s="174"/>
      <c r="D57" s="380"/>
      <c r="E57" s="381"/>
      <c r="F57" s="175"/>
      <c r="G57" s="309">
        <f t="shared" si="0"/>
        <v>0</v>
      </c>
      <c r="H57" s="382">
        <f t="shared" si="8"/>
        <v>0</v>
      </c>
      <c r="I57" s="382">
        <f t="shared" si="9"/>
        <v>0</v>
      </c>
      <c r="J57" s="160">
        <f>ROUND(F57*(1+'Información general'!$F$10),0)</f>
        <v>0</v>
      </c>
      <c r="K57" s="160">
        <f t="shared" si="4"/>
        <v>0</v>
      </c>
      <c r="L57" s="177">
        <f t="shared" si="10"/>
        <v>0</v>
      </c>
      <c r="M57" s="382">
        <f t="shared" si="5"/>
        <v>0</v>
      </c>
      <c r="N57" s="161">
        <f t="shared" si="6"/>
        <v>0</v>
      </c>
      <c r="P57" s="54">
        <f t="shared" si="7"/>
        <v>0</v>
      </c>
    </row>
    <row r="58" spans="1:16" ht="14.25" hidden="1">
      <c r="A58" s="54">
        <f>IF(J58=0,0,IF(J58&lt;'Información general'!$F$13*2,H58,0))</f>
        <v>0</v>
      </c>
      <c r="B58" s="378"/>
      <c r="C58" s="174"/>
      <c r="D58" s="380"/>
      <c r="E58" s="381"/>
      <c r="F58" s="175"/>
      <c r="G58" s="309">
        <f t="shared" si="0"/>
        <v>0</v>
      </c>
      <c r="H58" s="382">
        <f t="shared" si="8"/>
        <v>0</v>
      </c>
      <c r="I58" s="382">
        <f t="shared" si="9"/>
        <v>0</v>
      </c>
      <c r="J58" s="160">
        <f>ROUND(F58*(1+'Información general'!$F$10),0)</f>
        <v>0</v>
      </c>
      <c r="K58" s="160">
        <f t="shared" si="4"/>
        <v>0</v>
      </c>
      <c r="L58" s="177">
        <f t="shared" si="10"/>
        <v>0</v>
      </c>
      <c r="M58" s="382">
        <f t="shared" si="5"/>
        <v>0</v>
      </c>
      <c r="N58" s="161">
        <f t="shared" si="6"/>
        <v>0</v>
      </c>
      <c r="P58" s="54">
        <f t="shared" si="7"/>
        <v>0</v>
      </c>
    </row>
    <row r="59" spans="1:16" ht="14.25" hidden="1">
      <c r="A59" s="54">
        <f>IF(J59=0,0,IF(J59&lt;'Información general'!$F$13*2,H59,0))</f>
        <v>0</v>
      </c>
      <c r="B59" s="378"/>
      <c r="C59" s="174"/>
      <c r="D59" s="380"/>
      <c r="E59" s="381"/>
      <c r="F59" s="175"/>
      <c r="G59" s="309">
        <f t="shared" si="0"/>
        <v>0</v>
      </c>
      <c r="H59" s="382">
        <f t="shared" si="8"/>
        <v>0</v>
      </c>
      <c r="I59" s="382">
        <f t="shared" si="9"/>
        <v>0</v>
      </c>
      <c r="J59" s="160">
        <f>ROUND(F59*(1+'Información general'!$F$10),0)</f>
        <v>0</v>
      </c>
      <c r="K59" s="160">
        <f t="shared" si="4"/>
        <v>0</v>
      </c>
      <c r="L59" s="177">
        <f t="shared" si="10"/>
        <v>0</v>
      </c>
      <c r="M59" s="382">
        <f t="shared" si="5"/>
        <v>0</v>
      </c>
      <c r="N59" s="161">
        <f t="shared" si="6"/>
        <v>0</v>
      </c>
      <c r="P59" s="54">
        <f t="shared" si="7"/>
        <v>0</v>
      </c>
    </row>
    <row r="60" spans="1:16" ht="14.25" hidden="1">
      <c r="A60" s="54">
        <f>IF(J60=0,0,IF(J60&lt;'Información general'!$F$13*2,H60,0))</f>
        <v>0</v>
      </c>
      <c r="B60" s="378"/>
      <c r="C60" s="174"/>
      <c r="D60" s="380"/>
      <c r="E60" s="381"/>
      <c r="F60" s="175"/>
      <c r="G60" s="309">
        <f t="shared" si="0"/>
        <v>0</v>
      </c>
      <c r="H60" s="382">
        <f t="shared" si="8"/>
        <v>0</v>
      </c>
      <c r="I60" s="382">
        <f t="shared" si="9"/>
        <v>0</v>
      </c>
      <c r="J60" s="160">
        <f>ROUND(F60*(1+'Información general'!$F$10),0)</f>
        <v>0</v>
      </c>
      <c r="K60" s="160">
        <f t="shared" si="4"/>
        <v>0</v>
      </c>
      <c r="L60" s="177">
        <f t="shared" si="10"/>
        <v>0</v>
      </c>
      <c r="M60" s="382">
        <f t="shared" si="5"/>
        <v>0</v>
      </c>
      <c r="N60" s="161">
        <f t="shared" si="6"/>
        <v>0</v>
      </c>
      <c r="P60" s="54">
        <f t="shared" si="7"/>
        <v>0</v>
      </c>
    </row>
    <row r="61" spans="1:16" ht="14.25" hidden="1">
      <c r="A61" s="54">
        <f>IF(J61=0,0,IF(J61&lt;'Información general'!$F$13*2,H61,0))</f>
        <v>0</v>
      </c>
      <c r="B61" s="378"/>
      <c r="C61" s="174"/>
      <c r="D61" s="380"/>
      <c r="E61" s="381"/>
      <c r="F61" s="175"/>
      <c r="G61" s="309">
        <f t="shared" si="0"/>
        <v>0</v>
      </c>
      <c r="H61" s="382">
        <f t="shared" si="8"/>
        <v>0</v>
      </c>
      <c r="I61" s="382">
        <f t="shared" si="9"/>
        <v>0</v>
      </c>
      <c r="J61" s="160">
        <f>ROUND(F61*(1+'Información general'!$F$10),0)</f>
        <v>0</v>
      </c>
      <c r="K61" s="160">
        <f t="shared" si="4"/>
        <v>0</v>
      </c>
      <c r="L61" s="177">
        <f t="shared" si="10"/>
        <v>0</v>
      </c>
      <c r="M61" s="382">
        <f t="shared" si="5"/>
        <v>0</v>
      </c>
      <c r="N61" s="161">
        <f t="shared" si="6"/>
        <v>0</v>
      </c>
      <c r="P61" s="54">
        <f t="shared" si="7"/>
        <v>0</v>
      </c>
    </row>
    <row r="62" spans="1:16" ht="14.25" hidden="1">
      <c r="A62" s="54">
        <f>IF(J62=0,0,IF(J62&lt;'Información general'!$F$13*2,H62,0))</f>
        <v>0</v>
      </c>
      <c r="B62" s="378"/>
      <c r="C62" s="174"/>
      <c r="D62" s="380"/>
      <c r="E62" s="381"/>
      <c r="F62" s="175"/>
      <c r="G62" s="309">
        <f t="shared" si="0"/>
        <v>0</v>
      </c>
      <c r="H62" s="382">
        <f t="shared" si="8"/>
        <v>0</v>
      </c>
      <c r="I62" s="382">
        <f t="shared" si="9"/>
        <v>0</v>
      </c>
      <c r="J62" s="160">
        <f>ROUND(F62*(1+'Información general'!$F$10),0)</f>
        <v>0</v>
      </c>
      <c r="K62" s="160">
        <f t="shared" si="4"/>
        <v>0</v>
      </c>
      <c r="L62" s="177">
        <f t="shared" si="10"/>
        <v>0</v>
      </c>
      <c r="M62" s="382">
        <f t="shared" si="5"/>
        <v>0</v>
      </c>
      <c r="N62" s="161">
        <f t="shared" si="6"/>
        <v>0</v>
      </c>
      <c r="P62" s="54">
        <f t="shared" si="7"/>
        <v>0</v>
      </c>
    </row>
    <row r="63" spans="1:16" ht="14.25" hidden="1">
      <c r="A63" s="54">
        <f>IF(J63=0,0,IF(J63&lt;'Información general'!$F$13*2,H63,0))</f>
        <v>0</v>
      </c>
      <c r="B63" s="378"/>
      <c r="C63" s="174"/>
      <c r="D63" s="380"/>
      <c r="E63" s="381"/>
      <c r="F63" s="175"/>
      <c r="G63" s="309">
        <f t="shared" si="0"/>
        <v>0</v>
      </c>
      <c r="H63" s="382">
        <f t="shared" si="8"/>
        <v>0</v>
      </c>
      <c r="I63" s="382">
        <f t="shared" si="9"/>
        <v>0</v>
      </c>
      <c r="J63" s="160">
        <f>ROUND(F63*(1+'Información general'!$F$10),0)</f>
        <v>0</v>
      </c>
      <c r="K63" s="160">
        <f t="shared" si="4"/>
        <v>0</v>
      </c>
      <c r="L63" s="177">
        <f t="shared" si="10"/>
        <v>0</v>
      </c>
      <c r="M63" s="382">
        <f t="shared" si="5"/>
        <v>0</v>
      </c>
      <c r="N63" s="161">
        <f t="shared" si="6"/>
        <v>0</v>
      </c>
      <c r="P63" s="54">
        <f t="shared" si="7"/>
        <v>0</v>
      </c>
    </row>
    <row r="64" spans="1:16" ht="14.25" hidden="1">
      <c r="A64" s="54">
        <f>IF(J64=0,0,IF(J64&lt;'Información general'!$F$13*2,H64,0))</f>
        <v>0</v>
      </c>
      <c r="B64" s="378"/>
      <c r="C64" s="174"/>
      <c r="D64" s="380"/>
      <c r="E64" s="381"/>
      <c r="F64" s="175"/>
      <c r="G64" s="309">
        <f t="shared" si="0"/>
        <v>0</v>
      </c>
      <c r="H64" s="382">
        <f t="shared" si="8"/>
        <v>0</v>
      </c>
      <c r="I64" s="382">
        <f t="shared" si="9"/>
        <v>0</v>
      </c>
      <c r="J64" s="160">
        <f>ROUND(F64*(1+'Información general'!$F$10),0)</f>
        <v>0</v>
      </c>
      <c r="K64" s="160">
        <f t="shared" si="4"/>
        <v>0</v>
      </c>
      <c r="L64" s="177">
        <f t="shared" si="10"/>
        <v>0</v>
      </c>
      <c r="M64" s="382">
        <f t="shared" si="5"/>
        <v>0</v>
      </c>
      <c r="N64" s="161">
        <f t="shared" si="6"/>
        <v>0</v>
      </c>
      <c r="P64" s="54">
        <f t="shared" si="7"/>
        <v>0</v>
      </c>
    </row>
    <row r="65" spans="1:16" ht="14.25" hidden="1">
      <c r="A65" s="54">
        <f>IF(J65=0,0,IF(J65&lt;'Información general'!$F$13*2,H65,0))</f>
        <v>0</v>
      </c>
      <c r="B65" s="378"/>
      <c r="C65" s="174"/>
      <c r="D65" s="380"/>
      <c r="E65" s="381"/>
      <c r="F65" s="175"/>
      <c r="G65" s="309">
        <f t="shared" si="0"/>
        <v>0</v>
      </c>
      <c r="H65" s="382">
        <f t="shared" si="8"/>
        <v>0</v>
      </c>
      <c r="I65" s="382">
        <f t="shared" si="9"/>
        <v>0</v>
      </c>
      <c r="J65" s="160">
        <f>ROUND(F65*(1+'Información general'!$F$10),0)</f>
        <v>0</v>
      </c>
      <c r="K65" s="160">
        <f t="shared" si="4"/>
        <v>0</v>
      </c>
      <c r="L65" s="177">
        <f t="shared" si="10"/>
        <v>0</v>
      </c>
      <c r="M65" s="382">
        <f t="shared" si="5"/>
        <v>0</v>
      </c>
      <c r="N65" s="161">
        <f t="shared" si="6"/>
        <v>0</v>
      </c>
      <c r="P65" s="54">
        <f t="shared" si="7"/>
        <v>0</v>
      </c>
    </row>
    <row r="66" spans="1:16" ht="14.25" hidden="1">
      <c r="A66" s="54">
        <f>IF(J66=0,0,IF(J66&lt;'Información general'!$F$13*2,H66,0))</f>
        <v>0</v>
      </c>
      <c r="B66" s="378"/>
      <c r="C66" s="174"/>
      <c r="D66" s="380"/>
      <c r="E66" s="381"/>
      <c r="F66" s="175"/>
      <c r="G66" s="309">
        <f t="shared" si="0"/>
        <v>0</v>
      </c>
      <c r="H66" s="382">
        <f t="shared" si="8"/>
        <v>0</v>
      </c>
      <c r="I66" s="382">
        <f t="shared" si="9"/>
        <v>0</v>
      </c>
      <c r="J66" s="160">
        <f>ROUND(F66*(1+'Información general'!$F$10),0)</f>
        <v>0</v>
      </c>
      <c r="K66" s="160">
        <f t="shared" si="4"/>
        <v>0</v>
      </c>
      <c r="L66" s="177">
        <f t="shared" si="10"/>
        <v>0</v>
      </c>
      <c r="M66" s="382">
        <f t="shared" si="5"/>
        <v>0</v>
      </c>
      <c r="N66" s="161">
        <f t="shared" si="6"/>
        <v>0</v>
      </c>
      <c r="P66" s="54">
        <f t="shared" si="7"/>
        <v>0</v>
      </c>
    </row>
    <row r="67" spans="1:16" ht="14.25" hidden="1">
      <c r="A67" s="54">
        <f>IF(J67=0,0,IF(J67&lt;'Información general'!$F$13*2,H67,0))</f>
        <v>0</v>
      </c>
      <c r="B67" s="378"/>
      <c r="C67" s="174"/>
      <c r="D67" s="380"/>
      <c r="E67" s="381"/>
      <c r="F67" s="175"/>
      <c r="G67" s="309">
        <f t="shared" si="0"/>
        <v>0</v>
      </c>
      <c r="H67" s="382">
        <f t="shared" si="8"/>
        <v>0</v>
      </c>
      <c r="I67" s="382">
        <f t="shared" si="9"/>
        <v>0</v>
      </c>
      <c r="J67" s="160">
        <f>ROUND(F67*(1+'Información general'!$F$10),0)</f>
        <v>0</v>
      </c>
      <c r="K67" s="160">
        <f t="shared" si="4"/>
        <v>0</v>
      </c>
      <c r="L67" s="177">
        <f t="shared" si="10"/>
        <v>0</v>
      </c>
      <c r="M67" s="382">
        <f t="shared" si="5"/>
        <v>0</v>
      </c>
      <c r="N67" s="161">
        <f t="shared" si="6"/>
        <v>0</v>
      </c>
      <c r="P67" s="54">
        <f t="shared" si="7"/>
        <v>0</v>
      </c>
    </row>
    <row r="68" spans="1:16" ht="14.25" hidden="1">
      <c r="A68" s="54">
        <f>IF(J68=0,0,IF(J68&lt;'Información general'!$F$13*2,H68,0))</f>
        <v>0</v>
      </c>
      <c r="B68" s="378"/>
      <c r="C68" s="174"/>
      <c r="D68" s="380"/>
      <c r="E68" s="381"/>
      <c r="F68" s="175"/>
      <c r="G68" s="309">
        <f t="shared" si="0"/>
        <v>0</v>
      </c>
      <c r="H68" s="382">
        <f t="shared" si="8"/>
        <v>0</v>
      </c>
      <c r="I68" s="382">
        <f t="shared" si="9"/>
        <v>0</v>
      </c>
      <c r="J68" s="160">
        <f>ROUND(F68*(1+'Información general'!$F$10),0)</f>
        <v>0</v>
      </c>
      <c r="K68" s="160">
        <f t="shared" si="4"/>
        <v>0</v>
      </c>
      <c r="L68" s="177">
        <f t="shared" si="10"/>
        <v>0</v>
      </c>
      <c r="M68" s="382">
        <f t="shared" si="5"/>
        <v>0</v>
      </c>
      <c r="N68" s="161">
        <f t="shared" si="6"/>
        <v>0</v>
      </c>
      <c r="P68" s="54">
        <f t="shared" si="7"/>
        <v>0</v>
      </c>
    </row>
    <row r="69" spans="1:16" ht="14.25" hidden="1">
      <c r="A69" s="54">
        <f>IF(J69=0,0,IF(J69&lt;'Información general'!$F$13*2,H69,0))</f>
        <v>0</v>
      </c>
      <c r="B69" s="378"/>
      <c r="C69" s="174"/>
      <c r="D69" s="380"/>
      <c r="E69" s="381"/>
      <c r="F69" s="175"/>
      <c r="G69" s="309">
        <f t="shared" si="0"/>
        <v>0</v>
      </c>
      <c r="H69" s="382">
        <f t="shared" si="8"/>
        <v>0</v>
      </c>
      <c r="I69" s="382">
        <f t="shared" si="9"/>
        <v>0</v>
      </c>
      <c r="J69" s="160">
        <f>ROUND(F69*(1+'Información general'!$F$10),0)</f>
        <v>0</v>
      </c>
      <c r="K69" s="160">
        <f t="shared" si="4"/>
        <v>0</v>
      </c>
      <c r="L69" s="177">
        <f t="shared" si="10"/>
        <v>0</v>
      </c>
      <c r="M69" s="382">
        <f t="shared" si="5"/>
        <v>0</v>
      </c>
      <c r="N69" s="161">
        <f t="shared" si="6"/>
        <v>0</v>
      </c>
      <c r="P69" s="54">
        <f t="shared" si="7"/>
        <v>0</v>
      </c>
    </row>
    <row r="70" spans="1:16" ht="14.25" hidden="1">
      <c r="A70" s="54">
        <f>IF(J70=0,0,IF(J70&lt;'Información general'!$F$13*2,H70,0))</f>
        <v>0</v>
      </c>
      <c r="B70" s="378"/>
      <c r="C70" s="174"/>
      <c r="D70" s="380"/>
      <c r="E70" s="381"/>
      <c r="F70" s="175"/>
      <c r="G70" s="309">
        <f t="shared" si="0"/>
        <v>0</v>
      </c>
      <c r="H70" s="382">
        <f t="shared" si="8"/>
        <v>0</v>
      </c>
      <c r="I70" s="382">
        <f t="shared" si="9"/>
        <v>0</v>
      </c>
      <c r="J70" s="160">
        <f>ROUND(F70*(1+'Información general'!$F$10),0)</f>
        <v>0</v>
      </c>
      <c r="K70" s="160">
        <f t="shared" si="4"/>
        <v>0</v>
      </c>
      <c r="L70" s="177">
        <f t="shared" si="10"/>
        <v>0</v>
      </c>
      <c r="M70" s="382">
        <f t="shared" si="5"/>
        <v>0</v>
      </c>
      <c r="N70" s="161">
        <f t="shared" si="6"/>
        <v>0</v>
      </c>
      <c r="P70" s="54">
        <f t="shared" si="7"/>
        <v>0</v>
      </c>
    </row>
    <row r="71" spans="1:16" ht="14.25" hidden="1">
      <c r="A71" s="54">
        <f>IF(J71=0,0,IF(J71&lt;'Información general'!$F$13*2,H71,0))</f>
        <v>0</v>
      </c>
      <c r="B71" s="378"/>
      <c r="C71" s="174"/>
      <c r="D71" s="380"/>
      <c r="E71" s="381"/>
      <c r="F71" s="175"/>
      <c r="G71" s="309">
        <f aca="true" t="shared" si="11" ref="G71:G113">+D71*F71</f>
        <v>0</v>
      </c>
      <c r="H71" s="382">
        <f aca="true" t="shared" si="12" ref="H71:H102">D71</f>
        <v>0</v>
      </c>
      <c r="I71" s="382">
        <f aca="true" t="shared" si="13" ref="I71:I102">+E71</f>
        <v>0</v>
      </c>
      <c r="J71" s="160">
        <f>ROUND(F71*(1+'Información general'!$F$10),0)</f>
        <v>0</v>
      </c>
      <c r="K71" s="160">
        <f t="shared" si="4"/>
        <v>0</v>
      </c>
      <c r="L71" s="177">
        <f aca="true" t="shared" si="14" ref="L71:L102">IF(H71=0,0,ROUND((IF(G71=0," ",+(J71/F71-1)*100)),3))/100</f>
        <v>0</v>
      </c>
      <c r="M71" s="382">
        <f t="shared" si="5"/>
        <v>0</v>
      </c>
      <c r="N71" s="161">
        <f t="shared" si="6"/>
        <v>0</v>
      </c>
      <c r="P71" s="54">
        <f t="shared" si="7"/>
        <v>0</v>
      </c>
    </row>
    <row r="72" spans="1:16" ht="14.25" hidden="1">
      <c r="A72" s="54">
        <f>IF(J72=0,0,IF(J72&lt;'Información general'!$F$13*2,H72,0))</f>
        <v>0</v>
      </c>
      <c r="B72" s="378"/>
      <c r="C72" s="174"/>
      <c r="D72" s="380"/>
      <c r="E72" s="381"/>
      <c r="F72" s="175"/>
      <c r="G72" s="309">
        <f t="shared" si="11"/>
        <v>0</v>
      </c>
      <c r="H72" s="382">
        <f t="shared" si="12"/>
        <v>0</v>
      </c>
      <c r="I72" s="382">
        <f t="shared" si="13"/>
        <v>0</v>
      </c>
      <c r="J72" s="160">
        <f>ROUND(F72*(1+'Información general'!$F$10),0)</f>
        <v>0</v>
      </c>
      <c r="K72" s="160">
        <f aca="true" t="shared" si="15" ref="K72:K113">+H72*J72</f>
        <v>0</v>
      </c>
      <c r="L72" s="177">
        <f t="shared" si="14"/>
        <v>0</v>
      </c>
      <c r="M72" s="382">
        <f aca="true" t="shared" si="16" ref="M72:M113">+IF(H72&gt;0,12,0)</f>
        <v>0</v>
      </c>
      <c r="N72" s="161">
        <f aca="true" t="shared" si="17" ref="N72:N113">+K72*M72</f>
        <v>0</v>
      </c>
      <c r="P72" s="54">
        <f aca="true" t="shared" si="18" ref="P72:P130">+IF(COUNT(B72:N72)&gt;8,1,0)</f>
        <v>0</v>
      </c>
    </row>
    <row r="73" spans="1:16" ht="14.25" hidden="1">
      <c r="A73" s="54">
        <f>IF(J73=0,0,IF(J73&lt;'Información general'!$F$13*2,H73,0))</f>
        <v>0</v>
      </c>
      <c r="B73" s="378"/>
      <c r="C73" s="174"/>
      <c r="D73" s="380"/>
      <c r="E73" s="381"/>
      <c r="F73" s="175"/>
      <c r="G73" s="309">
        <f t="shared" si="11"/>
        <v>0</v>
      </c>
      <c r="H73" s="382">
        <f t="shared" si="12"/>
        <v>0</v>
      </c>
      <c r="I73" s="382">
        <f t="shared" si="13"/>
        <v>0</v>
      </c>
      <c r="J73" s="160">
        <f>ROUND(F73*(1+'Información general'!$F$10),0)</f>
        <v>0</v>
      </c>
      <c r="K73" s="160">
        <f t="shared" si="15"/>
        <v>0</v>
      </c>
      <c r="L73" s="177">
        <f t="shared" si="14"/>
        <v>0</v>
      </c>
      <c r="M73" s="382">
        <f t="shared" si="16"/>
        <v>0</v>
      </c>
      <c r="N73" s="161">
        <f t="shared" si="17"/>
        <v>0</v>
      </c>
      <c r="P73" s="54">
        <f t="shared" si="18"/>
        <v>0</v>
      </c>
    </row>
    <row r="74" spans="1:16" ht="14.25" hidden="1">
      <c r="A74" s="54">
        <f>IF(J74=0,0,IF(J74&lt;'Información general'!$F$13*2,H74,0))</f>
        <v>0</v>
      </c>
      <c r="B74" s="378"/>
      <c r="C74" s="174"/>
      <c r="D74" s="380"/>
      <c r="E74" s="381"/>
      <c r="F74" s="175"/>
      <c r="G74" s="309">
        <f t="shared" si="11"/>
        <v>0</v>
      </c>
      <c r="H74" s="382">
        <f t="shared" si="12"/>
        <v>0</v>
      </c>
      <c r="I74" s="382">
        <f t="shared" si="13"/>
        <v>0</v>
      </c>
      <c r="J74" s="160">
        <f>ROUND(F74*(1+'Información general'!$F$10),0)</f>
        <v>0</v>
      </c>
      <c r="K74" s="160">
        <f t="shared" si="15"/>
        <v>0</v>
      </c>
      <c r="L74" s="177">
        <f t="shared" si="14"/>
        <v>0</v>
      </c>
      <c r="M74" s="382">
        <f t="shared" si="16"/>
        <v>0</v>
      </c>
      <c r="N74" s="161">
        <f t="shared" si="17"/>
        <v>0</v>
      </c>
      <c r="P74" s="54">
        <f t="shared" si="18"/>
        <v>0</v>
      </c>
    </row>
    <row r="75" spans="1:16" ht="14.25" hidden="1">
      <c r="A75" s="54">
        <f>IF(J75=0,0,IF(J75&lt;'Información general'!$F$13*2,H75,0))</f>
        <v>0</v>
      </c>
      <c r="B75" s="378"/>
      <c r="C75" s="174"/>
      <c r="D75" s="380"/>
      <c r="E75" s="381"/>
      <c r="F75" s="175"/>
      <c r="G75" s="309">
        <f t="shared" si="11"/>
        <v>0</v>
      </c>
      <c r="H75" s="382">
        <f t="shared" si="12"/>
        <v>0</v>
      </c>
      <c r="I75" s="382">
        <f t="shared" si="13"/>
        <v>0</v>
      </c>
      <c r="J75" s="160">
        <f>ROUND(F75*(1+'Información general'!$F$10),0)</f>
        <v>0</v>
      </c>
      <c r="K75" s="160">
        <f t="shared" si="15"/>
        <v>0</v>
      </c>
      <c r="L75" s="177">
        <f t="shared" si="14"/>
        <v>0</v>
      </c>
      <c r="M75" s="382">
        <f t="shared" si="16"/>
        <v>0</v>
      </c>
      <c r="N75" s="161">
        <f t="shared" si="17"/>
        <v>0</v>
      </c>
      <c r="P75" s="54">
        <f t="shared" si="18"/>
        <v>0</v>
      </c>
    </row>
    <row r="76" spans="1:16" ht="14.25" hidden="1">
      <c r="A76" s="54">
        <f>IF(J76=0,0,IF(J76&lt;'Información general'!$F$13*2,H76,0))</f>
        <v>0</v>
      </c>
      <c r="B76" s="378"/>
      <c r="C76" s="174"/>
      <c r="D76" s="380"/>
      <c r="E76" s="381"/>
      <c r="F76" s="175"/>
      <c r="G76" s="309">
        <f t="shared" si="11"/>
        <v>0</v>
      </c>
      <c r="H76" s="382">
        <f t="shared" si="12"/>
        <v>0</v>
      </c>
      <c r="I76" s="382">
        <f t="shared" si="13"/>
        <v>0</v>
      </c>
      <c r="J76" s="160">
        <f>ROUND(F76*(1+'Información general'!$F$10),0)</f>
        <v>0</v>
      </c>
      <c r="K76" s="160">
        <f t="shared" si="15"/>
        <v>0</v>
      </c>
      <c r="L76" s="177">
        <f t="shared" si="14"/>
        <v>0</v>
      </c>
      <c r="M76" s="382">
        <f t="shared" si="16"/>
        <v>0</v>
      </c>
      <c r="N76" s="161">
        <f t="shared" si="17"/>
        <v>0</v>
      </c>
      <c r="P76" s="54">
        <f t="shared" si="18"/>
        <v>0</v>
      </c>
    </row>
    <row r="77" spans="1:16" ht="14.25" hidden="1">
      <c r="A77" s="54">
        <f>IF(J77=0,0,IF(J77&lt;'Información general'!$F$13*2,H77,0))</f>
        <v>0</v>
      </c>
      <c r="B77" s="378"/>
      <c r="C77" s="174"/>
      <c r="D77" s="380"/>
      <c r="E77" s="381"/>
      <c r="F77" s="175"/>
      <c r="G77" s="309">
        <f t="shared" si="11"/>
        <v>0</v>
      </c>
      <c r="H77" s="382">
        <f t="shared" si="12"/>
        <v>0</v>
      </c>
      <c r="I77" s="382">
        <f t="shared" si="13"/>
        <v>0</v>
      </c>
      <c r="J77" s="160">
        <f>ROUND(F77*(1+'Información general'!$F$10),0)</f>
        <v>0</v>
      </c>
      <c r="K77" s="160">
        <f t="shared" si="15"/>
        <v>0</v>
      </c>
      <c r="L77" s="177">
        <f t="shared" si="14"/>
        <v>0</v>
      </c>
      <c r="M77" s="382">
        <f t="shared" si="16"/>
        <v>0</v>
      </c>
      <c r="N77" s="161">
        <f t="shared" si="17"/>
        <v>0</v>
      </c>
      <c r="P77" s="54">
        <f t="shared" si="18"/>
        <v>0</v>
      </c>
    </row>
    <row r="78" spans="1:16" ht="14.25" hidden="1">
      <c r="A78" s="54">
        <f>IF(J78=0,0,IF(J78&lt;'Información general'!$F$13*2,H78,0))</f>
        <v>0</v>
      </c>
      <c r="B78" s="378"/>
      <c r="C78" s="174"/>
      <c r="D78" s="380"/>
      <c r="E78" s="381"/>
      <c r="F78" s="175"/>
      <c r="G78" s="309">
        <f t="shared" si="11"/>
        <v>0</v>
      </c>
      <c r="H78" s="382">
        <f t="shared" si="12"/>
        <v>0</v>
      </c>
      <c r="I78" s="382">
        <f t="shared" si="13"/>
        <v>0</v>
      </c>
      <c r="J78" s="160">
        <f>ROUND(F78*(1+'Información general'!$F$10),0)</f>
        <v>0</v>
      </c>
      <c r="K78" s="160">
        <f t="shared" si="15"/>
        <v>0</v>
      </c>
      <c r="L78" s="177">
        <f t="shared" si="14"/>
        <v>0</v>
      </c>
      <c r="M78" s="382">
        <f t="shared" si="16"/>
        <v>0</v>
      </c>
      <c r="N78" s="161">
        <f t="shared" si="17"/>
        <v>0</v>
      </c>
      <c r="P78" s="54">
        <f t="shared" si="18"/>
        <v>0</v>
      </c>
    </row>
    <row r="79" spans="1:16" ht="14.25" hidden="1">
      <c r="A79" s="54">
        <f>IF(J79=0,0,IF(J79&lt;'Información general'!$F$13*2,H79,0))</f>
        <v>0</v>
      </c>
      <c r="B79" s="378"/>
      <c r="C79" s="174"/>
      <c r="D79" s="380"/>
      <c r="E79" s="381"/>
      <c r="F79" s="175"/>
      <c r="G79" s="309">
        <f t="shared" si="11"/>
        <v>0</v>
      </c>
      <c r="H79" s="382">
        <f t="shared" si="12"/>
        <v>0</v>
      </c>
      <c r="I79" s="382">
        <f t="shared" si="13"/>
        <v>0</v>
      </c>
      <c r="J79" s="160">
        <f>ROUND(F79*(1+'Información general'!$F$10),0)</f>
        <v>0</v>
      </c>
      <c r="K79" s="160">
        <f t="shared" si="15"/>
        <v>0</v>
      </c>
      <c r="L79" s="177">
        <f t="shared" si="14"/>
        <v>0</v>
      </c>
      <c r="M79" s="382">
        <f t="shared" si="16"/>
        <v>0</v>
      </c>
      <c r="N79" s="161">
        <f t="shared" si="17"/>
        <v>0</v>
      </c>
      <c r="P79" s="54">
        <f t="shared" si="18"/>
        <v>0</v>
      </c>
    </row>
    <row r="80" spans="1:16" ht="14.25" hidden="1">
      <c r="A80" s="54">
        <f>IF(J80=0,0,IF(J80&lt;'Información general'!$F$13*2,H80,0))</f>
        <v>0</v>
      </c>
      <c r="B80" s="378"/>
      <c r="C80" s="174"/>
      <c r="D80" s="380"/>
      <c r="E80" s="381"/>
      <c r="F80" s="175"/>
      <c r="G80" s="309">
        <f t="shared" si="11"/>
        <v>0</v>
      </c>
      <c r="H80" s="382">
        <f t="shared" si="12"/>
        <v>0</v>
      </c>
      <c r="I80" s="382">
        <f t="shared" si="13"/>
        <v>0</v>
      </c>
      <c r="J80" s="160">
        <f>ROUND(F80*(1+'Información general'!$F$10),0)</f>
        <v>0</v>
      </c>
      <c r="K80" s="160">
        <f t="shared" si="15"/>
        <v>0</v>
      </c>
      <c r="L80" s="177">
        <f t="shared" si="14"/>
        <v>0</v>
      </c>
      <c r="M80" s="382">
        <f t="shared" si="16"/>
        <v>0</v>
      </c>
      <c r="N80" s="161">
        <f t="shared" si="17"/>
        <v>0</v>
      </c>
      <c r="P80" s="54">
        <f t="shared" si="18"/>
        <v>0</v>
      </c>
    </row>
    <row r="81" spans="1:16" ht="14.25" hidden="1">
      <c r="A81" s="54">
        <f>IF(J81=0,0,IF(J81&lt;'Información general'!$F$13*2,H81,0))</f>
        <v>0</v>
      </c>
      <c r="B81" s="378"/>
      <c r="C81" s="174"/>
      <c r="D81" s="380"/>
      <c r="E81" s="381"/>
      <c r="F81" s="175"/>
      <c r="G81" s="309">
        <f t="shared" si="11"/>
        <v>0</v>
      </c>
      <c r="H81" s="382">
        <f t="shared" si="12"/>
        <v>0</v>
      </c>
      <c r="I81" s="382">
        <f t="shared" si="13"/>
        <v>0</v>
      </c>
      <c r="J81" s="160">
        <f>ROUND(F81*(1+'Información general'!$F$10),0)</f>
        <v>0</v>
      </c>
      <c r="K81" s="160">
        <f t="shared" si="15"/>
        <v>0</v>
      </c>
      <c r="L81" s="177">
        <f t="shared" si="14"/>
        <v>0</v>
      </c>
      <c r="M81" s="382">
        <f t="shared" si="16"/>
        <v>0</v>
      </c>
      <c r="N81" s="161">
        <f t="shared" si="17"/>
        <v>0</v>
      </c>
      <c r="P81" s="54">
        <f t="shared" si="18"/>
        <v>0</v>
      </c>
    </row>
    <row r="82" spans="1:16" ht="14.25" hidden="1">
      <c r="A82" s="54">
        <f>IF(J82=0,0,IF(J82&lt;'Información general'!$F$13*2,H82,0))</f>
        <v>0</v>
      </c>
      <c r="B82" s="378"/>
      <c r="C82" s="174"/>
      <c r="D82" s="380"/>
      <c r="E82" s="381"/>
      <c r="F82" s="175"/>
      <c r="G82" s="309">
        <f t="shared" si="11"/>
        <v>0</v>
      </c>
      <c r="H82" s="382">
        <f t="shared" si="12"/>
        <v>0</v>
      </c>
      <c r="I82" s="382">
        <f t="shared" si="13"/>
        <v>0</v>
      </c>
      <c r="J82" s="160">
        <f>ROUND(F82*(1+'Información general'!$F$10),0)</f>
        <v>0</v>
      </c>
      <c r="K82" s="160">
        <f t="shared" si="15"/>
        <v>0</v>
      </c>
      <c r="L82" s="177">
        <f t="shared" si="14"/>
        <v>0</v>
      </c>
      <c r="M82" s="382">
        <f t="shared" si="16"/>
        <v>0</v>
      </c>
      <c r="N82" s="161">
        <f t="shared" si="17"/>
        <v>0</v>
      </c>
      <c r="P82" s="54">
        <f t="shared" si="18"/>
        <v>0</v>
      </c>
    </row>
    <row r="83" spans="1:16" ht="14.25" hidden="1">
      <c r="A83" s="54">
        <f>IF(J83=0,0,IF(J83&lt;'Información general'!$F$13*2,H83,0))</f>
        <v>0</v>
      </c>
      <c r="B83" s="378"/>
      <c r="C83" s="174"/>
      <c r="D83" s="380"/>
      <c r="E83" s="381"/>
      <c r="F83" s="175"/>
      <c r="G83" s="309">
        <f t="shared" si="11"/>
        <v>0</v>
      </c>
      <c r="H83" s="382">
        <f t="shared" si="12"/>
        <v>0</v>
      </c>
      <c r="I83" s="382">
        <f t="shared" si="13"/>
        <v>0</v>
      </c>
      <c r="J83" s="160">
        <f>ROUND(F83*(1+'Información general'!$F$10),0)</f>
        <v>0</v>
      </c>
      <c r="K83" s="160">
        <f t="shared" si="15"/>
        <v>0</v>
      </c>
      <c r="L83" s="177">
        <f t="shared" si="14"/>
        <v>0</v>
      </c>
      <c r="M83" s="382">
        <f t="shared" si="16"/>
        <v>0</v>
      </c>
      <c r="N83" s="161">
        <f t="shared" si="17"/>
        <v>0</v>
      </c>
      <c r="P83" s="54">
        <f t="shared" si="18"/>
        <v>0</v>
      </c>
    </row>
    <row r="84" spans="1:16" ht="14.25" hidden="1">
      <c r="A84" s="54">
        <f>IF(J84=0,0,IF(J84&lt;'Información general'!$F$13*2,H84,0))</f>
        <v>0</v>
      </c>
      <c r="B84" s="378"/>
      <c r="C84" s="174"/>
      <c r="D84" s="380"/>
      <c r="E84" s="381"/>
      <c r="F84" s="175"/>
      <c r="G84" s="309">
        <f t="shared" si="11"/>
        <v>0</v>
      </c>
      <c r="H84" s="382">
        <f t="shared" si="12"/>
        <v>0</v>
      </c>
      <c r="I84" s="382">
        <f t="shared" si="13"/>
        <v>0</v>
      </c>
      <c r="J84" s="160">
        <f>ROUND(F84*(1+'Información general'!$F$10),0)</f>
        <v>0</v>
      </c>
      <c r="K84" s="160">
        <f t="shared" si="15"/>
        <v>0</v>
      </c>
      <c r="L84" s="177">
        <f t="shared" si="14"/>
        <v>0</v>
      </c>
      <c r="M84" s="382">
        <f t="shared" si="16"/>
        <v>0</v>
      </c>
      <c r="N84" s="161">
        <f t="shared" si="17"/>
        <v>0</v>
      </c>
      <c r="P84" s="54">
        <f t="shared" si="18"/>
        <v>0</v>
      </c>
    </row>
    <row r="85" spans="1:16" ht="14.25" hidden="1">
      <c r="A85" s="54">
        <f>IF(J85=0,0,IF(J85&lt;'Información general'!$F$13*2,H85,0))</f>
        <v>0</v>
      </c>
      <c r="B85" s="378"/>
      <c r="C85" s="174"/>
      <c r="D85" s="380"/>
      <c r="E85" s="381"/>
      <c r="F85" s="175"/>
      <c r="G85" s="309">
        <f t="shared" si="11"/>
        <v>0</v>
      </c>
      <c r="H85" s="382">
        <f t="shared" si="12"/>
        <v>0</v>
      </c>
      <c r="I85" s="382">
        <f t="shared" si="13"/>
        <v>0</v>
      </c>
      <c r="J85" s="160">
        <f>ROUND(F85*(1+'Información general'!$F$10),0)</f>
        <v>0</v>
      </c>
      <c r="K85" s="160">
        <f t="shared" si="15"/>
        <v>0</v>
      </c>
      <c r="L85" s="177">
        <f t="shared" si="14"/>
        <v>0</v>
      </c>
      <c r="M85" s="382">
        <f t="shared" si="16"/>
        <v>0</v>
      </c>
      <c r="N85" s="161">
        <f t="shared" si="17"/>
        <v>0</v>
      </c>
      <c r="P85" s="54">
        <f t="shared" si="18"/>
        <v>0</v>
      </c>
    </row>
    <row r="86" spans="1:16" ht="14.25" hidden="1">
      <c r="A86" s="54">
        <f>IF(J86=0,0,IF(J86&lt;'Información general'!$F$13*2,H86,0))</f>
        <v>0</v>
      </c>
      <c r="B86" s="378"/>
      <c r="C86" s="174"/>
      <c r="D86" s="380"/>
      <c r="E86" s="381"/>
      <c r="F86" s="175"/>
      <c r="G86" s="309">
        <f t="shared" si="11"/>
        <v>0</v>
      </c>
      <c r="H86" s="382">
        <f t="shared" si="12"/>
        <v>0</v>
      </c>
      <c r="I86" s="382">
        <f t="shared" si="13"/>
        <v>0</v>
      </c>
      <c r="J86" s="160">
        <f>ROUND(F86*(1+'Información general'!$F$10),0)</f>
        <v>0</v>
      </c>
      <c r="K86" s="160">
        <f t="shared" si="15"/>
        <v>0</v>
      </c>
      <c r="L86" s="177">
        <f t="shared" si="14"/>
        <v>0</v>
      </c>
      <c r="M86" s="382">
        <f t="shared" si="16"/>
        <v>0</v>
      </c>
      <c r="N86" s="161">
        <f t="shared" si="17"/>
        <v>0</v>
      </c>
      <c r="P86" s="54">
        <f t="shared" si="18"/>
        <v>0</v>
      </c>
    </row>
    <row r="87" spans="1:16" ht="14.25" hidden="1">
      <c r="A87" s="54">
        <f>IF(J87=0,0,IF(J87&lt;'Información general'!$F$13*2,H87,0))</f>
        <v>0</v>
      </c>
      <c r="B87" s="378"/>
      <c r="C87" s="174"/>
      <c r="D87" s="380"/>
      <c r="E87" s="381"/>
      <c r="F87" s="175"/>
      <c r="G87" s="309">
        <f t="shared" si="11"/>
        <v>0</v>
      </c>
      <c r="H87" s="382">
        <f t="shared" si="12"/>
        <v>0</v>
      </c>
      <c r="I87" s="382">
        <f t="shared" si="13"/>
        <v>0</v>
      </c>
      <c r="J87" s="160">
        <f>ROUND(F87*(1+'Información general'!$F$10),0)</f>
        <v>0</v>
      </c>
      <c r="K87" s="160">
        <f t="shared" si="15"/>
        <v>0</v>
      </c>
      <c r="L87" s="177">
        <f t="shared" si="14"/>
        <v>0</v>
      </c>
      <c r="M87" s="382">
        <f t="shared" si="16"/>
        <v>0</v>
      </c>
      <c r="N87" s="161">
        <f t="shared" si="17"/>
        <v>0</v>
      </c>
      <c r="P87" s="54">
        <f t="shared" si="18"/>
        <v>0</v>
      </c>
    </row>
    <row r="88" spans="1:16" ht="14.25" hidden="1">
      <c r="A88" s="54">
        <f>IF(J88=0,0,IF(J88&lt;'Información general'!$F$13*2,H88,0))</f>
        <v>0</v>
      </c>
      <c r="B88" s="378"/>
      <c r="C88" s="174"/>
      <c r="D88" s="380"/>
      <c r="E88" s="381"/>
      <c r="F88" s="175"/>
      <c r="G88" s="309">
        <f t="shared" si="11"/>
        <v>0</v>
      </c>
      <c r="H88" s="382">
        <f t="shared" si="12"/>
        <v>0</v>
      </c>
      <c r="I88" s="382">
        <f t="shared" si="13"/>
        <v>0</v>
      </c>
      <c r="J88" s="160">
        <f>ROUND(F88*(1+'Información general'!$F$10),0)</f>
        <v>0</v>
      </c>
      <c r="K88" s="160">
        <f t="shared" si="15"/>
        <v>0</v>
      </c>
      <c r="L88" s="177">
        <f t="shared" si="14"/>
        <v>0</v>
      </c>
      <c r="M88" s="382">
        <f t="shared" si="16"/>
        <v>0</v>
      </c>
      <c r="N88" s="161">
        <f t="shared" si="17"/>
        <v>0</v>
      </c>
      <c r="P88" s="54">
        <f t="shared" si="18"/>
        <v>0</v>
      </c>
    </row>
    <row r="89" spans="1:16" ht="14.25" hidden="1">
      <c r="A89" s="54">
        <f>IF(J89=0,0,IF(J89&lt;'Información general'!$F$13*2,H89,0))</f>
        <v>0</v>
      </c>
      <c r="B89" s="378"/>
      <c r="C89" s="174"/>
      <c r="D89" s="380"/>
      <c r="E89" s="381"/>
      <c r="F89" s="175"/>
      <c r="G89" s="309">
        <f t="shared" si="11"/>
        <v>0</v>
      </c>
      <c r="H89" s="382">
        <f t="shared" si="12"/>
        <v>0</v>
      </c>
      <c r="I89" s="382">
        <f t="shared" si="13"/>
        <v>0</v>
      </c>
      <c r="J89" s="160">
        <f>ROUND(F89*(1+'Información general'!$F$10),0)</f>
        <v>0</v>
      </c>
      <c r="K89" s="160">
        <f t="shared" si="15"/>
        <v>0</v>
      </c>
      <c r="L89" s="177">
        <f t="shared" si="14"/>
        <v>0</v>
      </c>
      <c r="M89" s="382">
        <f t="shared" si="16"/>
        <v>0</v>
      </c>
      <c r="N89" s="161">
        <f t="shared" si="17"/>
        <v>0</v>
      </c>
      <c r="P89" s="54">
        <f t="shared" si="18"/>
        <v>0</v>
      </c>
    </row>
    <row r="90" spans="1:16" ht="14.25" hidden="1">
      <c r="A90" s="54">
        <f>IF(J90=0,0,IF(J90&lt;'Información general'!$F$13*2,H90,0))</f>
        <v>0</v>
      </c>
      <c r="B90" s="378"/>
      <c r="C90" s="174"/>
      <c r="D90" s="380"/>
      <c r="E90" s="381"/>
      <c r="F90" s="175"/>
      <c r="G90" s="309">
        <f t="shared" si="11"/>
        <v>0</v>
      </c>
      <c r="H90" s="382">
        <f t="shared" si="12"/>
        <v>0</v>
      </c>
      <c r="I90" s="382">
        <f t="shared" si="13"/>
        <v>0</v>
      </c>
      <c r="J90" s="160">
        <f>ROUND(F90*(1+'Información general'!$F$10),0)</f>
        <v>0</v>
      </c>
      <c r="K90" s="160">
        <f t="shared" si="15"/>
        <v>0</v>
      </c>
      <c r="L90" s="177">
        <f t="shared" si="14"/>
        <v>0</v>
      </c>
      <c r="M90" s="382">
        <f t="shared" si="16"/>
        <v>0</v>
      </c>
      <c r="N90" s="161">
        <f t="shared" si="17"/>
        <v>0</v>
      </c>
      <c r="P90" s="54">
        <f t="shared" si="18"/>
        <v>0</v>
      </c>
    </row>
    <row r="91" spans="1:16" ht="14.25" hidden="1">
      <c r="A91" s="54">
        <f>IF(J91=0,0,IF(J91&lt;'Información general'!$F$13*2,H91,0))</f>
        <v>0</v>
      </c>
      <c r="B91" s="378"/>
      <c r="C91" s="174"/>
      <c r="D91" s="380"/>
      <c r="E91" s="381"/>
      <c r="F91" s="175"/>
      <c r="G91" s="309">
        <f t="shared" si="11"/>
        <v>0</v>
      </c>
      <c r="H91" s="382">
        <f t="shared" si="12"/>
        <v>0</v>
      </c>
      <c r="I91" s="382">
        <f t="shared" si="13"/>
        <v>0</v>
      </c>
      <c r="J91" s="160">
        <f>ROUND(F91*(1+'Información general'!$F$10),0)</f>
        <v>0</v>
      </c>
      <c r="K91" s="160">
        <f t="shared" si="15"/>
        <v>0</v>
      </c>
      <c r="L91" s="177">
        <f t="shared" si="14"/>
        <v>0</v>
      </c>
      <c r="M91" s="382">
        <f t="shared" si="16"/>
        <v>0</v>
      </c>
      <c r="N91" s="161">
        <f t="shared" si="17"/>
        <v>0</v>
      </c>
      <c r="P91" s="54">
        <f t="shared" si="18"/>
        <v>0</v>
      </c>
    </row>
    <row r="92" spans="1:16" ht="14.25" hidden="1">
      <c r="A92" s="54">
        <f>IF(J92=0,0,IF(J92&lt;'Información general'!$F$13*2,H92,0))</f>
        <v>0</v>
      </c>
      <c r="B92" s="378"/>
      <c r="C92" s="174"/>
      <c r="D92" s="380"/>
      <c r="E92" s="381"/>
      <c r="F92" s="175"/>
      <c r="G92" s="309">
        <f t="shared" si="11"/>
        <v>0</v>
      </c>
      <c r="H92" s="382">
        <f t="shared" si="12"/>
        <v>0</v>
      </c>
      <c r="I92" s="382">
        <f t="shared" si="13"/>
        <v>0</v>
      </c>
      <c r="J92" s="160">
        <f>ROUND(F92*(1+'Información general'!$F$10),0)</f>
        <v>0</v>
      </c>
      <c r="K92" s="160">
        <f t="shared" si="15"/>
        <v>0</v>
      </c>
      <c r="L92" s="177">
        <f t="shared" si="14"/>
        <v>0</v>
      </c>
      <c r="M92" s="382">
        <f t="shared" si="16"/>
        <v>0</v>
      </c>
      <c r="N92" s="161">
        <f t="shared" si="17"/>
        <v>0</v>
      </c>
      <c r="P92" s="54">
        <f t="shared" si="18"/>
        <v>0</v>
      </c>
    </row>
    <row r="93" spans="1:16" ht="14.25" hidden="1">
      <c r="A93" s="54">
        <f>IF(J93=0,0,IF(J93&lt;'Información general'!$F$13*2,H93,0))</f>
        <v>0</v>
      </c>
      <c r="B93" s="378"/>
      <c r="C93" s="174"/>
      <c r="D93" s="380"/>
      <c r="E93" s="381"/>
      <c r="F93" s="175"/>
      <c r="G93" s="309">
        <f t="shared" si="11"/>
        <v>0</v>
      </c>
      <c r="H93" s="382">
        <f t="shared" si="12"/>
        <v>0</v>
      </c>
      <c r="I93" s="382">
        <f t="shared" si="13"/>
        <v>0</v>
      </c>
      <c r="J93" s="160">
        <f>ROUND(F93*(1+'Información general'!$F$10),0)</f>
        <v>0</v>
      </c>
      <c r="K93" s="160">
        <f t="shared" si="15"/>
        <v>0</v>
      </c>
      <c r="L93" s="177">
        <f t="shared" si="14"/>
        <v>0</v>
      </c>
      <c r="M93" s="382">
        <f t="shared" si="16"/>
        <v>0</v>
      </c>
      <c r="N93" s="161">
        <f t="shared" si="17"/>
        <v>0</v>
      </c>
      <c r="P93" s="54">
        <f t="shared" si="18"/>
        <v>0</v>
      </c>
    </row>
    <row r="94" spans="1:16" ht="14.25" hidden="1">
      <c r="A94" s="54">
        <f>IF(J94=0,0,IF(J94&lt;'Información general'!$F$13*2,H94,0))</f>
        <v>0</v>
      </c>
      <c r="B94" s="378"/>
      <c r="C94" s="174"/>
      <c r="D94" s="380"/>
      <c r="E94" s="381"/>
      <c r="F94" s="175"/>
      <c r="G94" s="309">
        <f t="shared" si="11"/>
        <v>0</v>
      </c>
      <c r="H94" s="382">
        <f t="shared" si="12"/>
        <v>0</v>
      </c>
      <c r="I94" s="382">
        <f t="shared" si="13"/>
        <v>0</v>
      </c>
      <c r="J94" s="160">
        <f>ROUND(F94*(1+'Información general'!$F$10),0)</f>
        <v>0</v>
      </c>
      <c r="K94" s="160">
        <f t="shared" si="15"/>
        <v>0</v>
      </c>
      <c r="L94" s="177">
        <f t="shared" si="14"/>
        <v>0</v>
      </c>
      <c r="M94" s="382">
        <f t="shared" si="16"/>
        <v>0</v>
      </c>
      <c r="N94" s="161">
        <f t="shared" si="17"/>
        <v>0</v>
      </c>
      <c r="P94" s="54">
        <f t="shared" si="18"/>
        <v>0</v>
      </c>
    </row>
    <row r="95" spans="1:16" ht="14.25" hidden="1">
      <c r="A95" s="54">
        <f>IF(J95=0,0,IF(J95&lt;'Información general'!$F$13*2,H95,0))</f>
        <v>0</v>
      </c>
      <c r="B95" s="378"/>
      <c r="C95" s="174"/>
      <c r="D95" s="380"/>
      <c r="E95" s="381"/>
      <c r="F95" s="175"/>
      <c r="G95" s="309">
        <f t="shared" si="11"/>
        <v>0</v>
      </c>
      <c r="H95" s="382">
        <f t="shared" si="12"/>
        <v>0</v>
      </c>
      <c r="I95" s="382">
        <f t="shared" si="13"/>
        <v>0</v>
      </c>
      <c r="J95" s="160">
        <f>ROUND(F95*(1+'Información general'!$F$10),0)</f>
        <v>0</v>
      </c>
      <c r="K95" s="160">
        <f t="shared" si="15"/>
        <v>0</v>
      </c>
      <c r="L95" s="177">
        <f t="shared" si="14"/>
        <v>0</v>
      </c>
      <c r="M95" s="382">
        <f t="shared" si="16"/>
        <v>0</v>
      </c>
      <c r="N95" s="161">
        <f t="shared" si="17"/>
        <v>0</v>
      </c>
      <c r="P95" s="54">
        <f t="shared" si="18"/>
        <v>0</v>
      </c>
    </row>
    <row r="96" spans="1:16" ht="14.25" hidden="1">
      <c r="A96" s="54">
        <f>IF(J96=0,0,IF(J96&lt;'Información general'!$F$13*2,H96,0))</f>
        <v>0</v>
      </c>
      <c r="B96" s="378"/>
      <c r="C96" s="174"/>
      <c r="D96" s="380"/>
      <c r="E96" s="381"/>
      <c r="F96" s="175"/>
      <c r="G96" s="309">
        <f t="shared" si="11"/>
        <v>0</v>
      </c>
      <c r="H96" s="382">
        <f t="shared" si="12"/>
        <v>0</v>
      </c>
      <c r="I96" s="382">
        <f t="shared" si="13"/>
        <v>0</v>
      </c>
      <c r="J96" s="160">
        <f>ROUND(F96*(1+'Información general'!$F$10),0)</f>
        <v>0</v>
      </c>
      <c r="K96" s="160">
        <f t="shared" si="15"/>
        <v>0</v>
      </c>
      <c r="L96" s="177">
        <f t="shared" si="14"/>
        <v>0</v>
      </c>
      <c r="M96" s="382">
        <f t="shared" si="16"/>
        <v>0</v>
      </c>
      <c r="N96" s="161">
        <f t="shared" si="17"/>
        <v>0</v>
      </c>
      <c r="P96" s="54">
        <f t="shared" si="18"/>
        <v>0</v>
      </c>
    </row>
    <row r="97" spans="1:16" ht="14.25" hidden="1">
      <c r="A97" s="54">
        <f>IF(J97=0,0,IF(J97&lt;'Información general'!$F$13*2,H97,0))</f>
        <v>0</v>
      </c>
      <c r="B97" s="378"/>
      <c r="C97" s="174"/>
      <c r="D97" s="380"/>
      <c r="E97" s="381"/>
      <c r="F97" s="175"/>
      <c r="G97" s="309">
        <f t="shared" si="11"/>
        <v>0</v>
      </c>
      <c r="H97" s="382">
        <f t="shared" si="12"/>
        <v>0</v>
      </c>
      <c r="I97" s="382">
        <f t="shared" si="13"/>
        <v>0</v>
      </c>
      <c r="J97" s="160">
        <f>ROUND(F97*(1+'Información general'!$F$10),0)</f>
        <v>0</v>
      </c>
      <c r="K97" s="160">
        <f t="shared" si="15"/>
        <v>0</v>
      </c>
      <c r="L97" s="177">
        <f t="shared" si="14"/>
        <v>0</v>
      </c>
      <c r="M97" s="382">
        <f t="shared" si="16"/>
        <v>0</v>
      </c>
      <c r="N97" s="161">
        <f t="shared" si="17"/>
        <v>0</v>
      </c>
      <c r="P97" s="54">
        <f t="shared" si="18"/>
        <v>0</v>
      </c>
    </row>
    <row r="98" spans="1:16" ht="14.25" hidden="1">
      <c r="A98" s="54">
        <f>IF(J98=0,0,IF(J98&lt;'Información general'!$F$13*2,H98,0))</f>
        <v>0</v>
      </c>
      <c r="B98" s="378"/>
      <c r="C98" s="174"/>
      <c r="D98" s="380"/>
      <c r="E98" s="381"/>
      <c r="F98" s="175"/>
      <c r="G98" s="309">
        <f t="shared" si="11"/>
        <v>0</v>
      </c>
      <c r="H98" s="382">
        <f t="shared" si="12"/>
        <v>0</v>
      </c>
      <c r="I98" s="382">
        <f t="shared" si="13"/>
        <v>0</v>
      </c>
      <c r="J98" s="160">
        <f>ROUND(F98*(1+'Información general'!$F$10),0)</f>
        <v>0</v>
      </c>
      <c r="K98" s="160">
        <f t="shared" si="15"/>
        <v>0</v>
      </c>
      <c r="L98" s="177">
        <f t="shared" si="14"/>
        <v>0</v>
      </c>
      <c r="M98" s="382">
        <f t="shared" si="16"/>
        <v>0</v>
      </c>
      <c r="N98" s="161">
        <f t="shared" si="17"/>
        <v>0</v>
      </c>
      <c r="P98" s="54">
        <f t="shared" si="18"/>
        <v>0</v>
      </c>
    </row>
    <row r="99" spans="1:16" ht="14.25" hidden="1">
      <c r="A99" s="54">
        <f>IF(J99=0,0,IF(J99&lt;'Información general'!$F$13*2,H99,0))</f>
        <v>0</v>
      </c>
      <c r="B99" s="378"/>
      <c r="C99" s="174"/>
      <c r="D99" s="380"/>
      <c r="E99" s="381"/>
      <c r="F99" s="175"/>
      <c r="G99" s="309">
        <f t="shared" si="11"/>
        <v>0</v>
      </c>
      <c r="H99" s="382">
        <f t="shared" si="12"/>
        <v>0</v>
      </c>
      <c r="I99" s="382">
        <f t="shared" si="13"/>
        <v>0</v>
      </c>
      <c r="J99" s="160">
        <f>ROUND(F99*(1+'Información general'!$F$10),0)</f>
        <v>0</v>
      </c>
      <c r="K99" s="160">
        <f t="shared" si="15"/>
        <v>0</v>
      </c>
      <c r="L99" s="177">
        <f t="shared" si="14"/>
        <v>0</v>
      </c>
      <c r="M99" s="382">
        <f t="shared" si="16"/>
        <v>0</v>
      </c>
      <c r="N99" s="161">
        <f t="shared" si="17"/>
        <v>0</v>
      </c>
      <c r="P99" s="54">
        <f t="shared" si="18"/>
        <v>0</v>
      </c>
    </row>
    <row r="100" spans="1:16" ht="14.25" hidden="1">
      <c r="A100" s="54">
        <f>IF(J100=0,0,IF(J100&lt;'Información general'!$F$13*2,H100,0))</f>
        <v>0</v>
      </c>
      <c r="B100" s="378"/>
      <c r="C100" s="174"/>
      <c r="D100" s="380"/>
      <c r="E100" s="381"/>
      <c r="F100" s="175"/>
      <c r="G100" s="309">
        <f t="shared" si="11"/>
        <v>0</v>
      </c>
      <c r="H100" s="382">
        <f t="shared" si="12"/>
        <v>0</v>
      </c>
      <c r="I100" s="382">
        <f t="shared" si="13"/>
        <v>0</v>
      </c>
      <c r="J100" s="160">
        <f>ROUND(F100*(1+'Información general'!$F$10),0)</f>
        <v>0</v>
      </c>
      <c r="K100" s="160">
        <f t="shared" si="15"/>
        <v>0</v>
      </c>
      <c r="L100" s="177">
        <f t="shared" si="14"/>
        <v>0</v>
      </c>
      <c r="M100" s="382">
        <f t="shared" si="16"/>
        <v>0</v>
      </c>
      <c r="N100" s="161">
        <f t="shared" si="17"/>
        <v>0</v>
      </c>
      <c r="P100" s="54">
        <f t="shared" si="18"/>
        <v>0</v>
      </c>
    </row>
    <row r="101" spans="1:16" ht="14.25" hidden="1">
      <c r="A101" s="54">
        <f>IF(J101=0,0,IF(J101&lt;'Información general'!$F$13*2,H101,0))</f>
        <v>0</v>
      </c>
      <c r="B101" s="378"/>
      <c r="C101" s="174"/>
      <c r="D101" s="380"/>
      <c r="E101" s="381"/>
      <c r="F101" s="175"/>
      <c r="G101" s="309">
        <f t="shared" si="11"/>
        <v>0</v>
      </c>
      <c r="H101" s="382">
        <f t="shared" si="12"/>
        <v>0</v>
      </c>
      <c r="I101" s="382">
        <f t="shared" si="13"/>
        <v>0</v>
      </c>
      <c r="J101" s="160">
        <f>ROUND(F101*(1+'Información general'!$F$10),0)</f>
        <v>0</v>
      </c>
      <c r="K101" s="160">
        <f t="shared" si="15"/>
        <v>0</v>
      </c>
      <c r="L101" s="177">
        <f t="shared" si="14"/>
        <v>0</v>
      </c>
      <c r="M101" s="382">
        <f t="shared" si="16"/>
        <v>0</v>
      </c>
      <c r="N101" s="161">
        <f t="shared" si="17"/>
        <v>0</v>
      </c>
      <c r="P101" s="54">
        <f t="shared" si="18"/>
        <v>0</v>
      </c>
    </row>
    <row r="102" spans="1:16" ht="14.25" hidden="1">
      <c r="A102" s="54">
        <f>IF(J102=0,0,IF(J102&lt;'Información general'!$F$13*2,H102,0))</f>
        <v>0</v>
      </c>
      <c r="B102" s="378"/>
      <c r="C102" s="174"/>
      <c r="D102" s="380"/>
      <c r="E102" s="381"/>
      <c r="F102" s="175"/>
      <c r="G102" s="309">
        <f t="shared" si="11"/>
        <v>0</v>
      </c>
      <c r="H102" s="382">
        <f t="shared" si="12"/>
        <v>0</v>
      </c>
      <c r="I102" s="382">
        <f t="shared" si="13"/>
        <v>0</v>
      </c>
      <c r="J102" s="160">
        <f>ROUND(F102*(1+'Información general'!$F$10),0)</f>
        <v>0</v>
      </c>
      <c r="K102" s="160">
        <f t="shared" si="15"/>
        <v>0</v>
      </c>
      <c r="L102" s="177">
        <f t="shared" si="14"/>
        <v>0</v>
      </c>
      <c r="M102" s="382">
        <f t="shared" si="16"/>
        <v>0</v>
      </c>
      <c r="N102" s="161">
        <f t="shared" si="17"/>
        <v>0</v>
      </c>
      <c r="P102" s="54">
        <f t="shared" si="18"/>
        <v>0</v>
      </c>
    </row>
    <row r="103" spans="1:16" ht="14.25" hidden="1">
      <c r="A103" s="54">
        <f>IF(J103=0,0,IF(J103&lt;'Información general'!$F$13*2,H103,0))</f>
        <v>0</v>
      </c>
      <c r="B103" s="378"/>
      <c r="C103" s="174"/>
      <c r="D103" s="380"/>
      <c r="E103" s="381"/>
      <c r="F103" s="175"/>
      <c r="G103" s="309">
        <f t="shared" si="11"/>
        <v>0</v>
      </c>
      <c r="H103" s="382">
        <f aca="true" t="shared" si="19" ref="H103:H113">D103</f>
        <v>0</v>
      </c>
      <c r="I103" s="382">
        <f aca="true" t="shared" si="20" ref="I103:I113">+E103</f>
        <v>0</v>
      </c>
      <c r="J103" s="160">
        <f>ROUND(F103*(1+'Información general'!$F$10),0)</f>
        <v>0</v>
      </c>
      <c r="K103" s="160">
        <f t="shared" si="15"/>
        <v>0</v>
      </c>
      <c r="L103" s="177">
        <f aca="true" t="shared" si="21" ref="L103:L113">IF(H103=0,0,ROUND((IF(G103=0," ",+(J103/F103-1)*100)),3))/100</f>
        <v>0</v>
      </c>
      <c r="M103" s="382">
        <f t="shared" si="16"/>
        <v>0</v>
      </c>
      <c r="N103" s="161">
        <f t="shared" si="17"/>
        <v>0</v>
      </c>
      <c r="P103" s="54">
        <f t="shared" si="18"/>
        <v>0</v>
      </c>
    </row>
    <row r="104" spans="1:16" ht="14.25" hidden="1">
      <c r="A104" s="54">
        <f>IF(J104=0,0,IF(J104&lt;'Información general'!$F$13*2,H104,0))</f>
        <v>0</v>
      </c>
      <c r="B104" s="378"/>
      <c r="C104" s="174"/>
      <c r="D104" s="380"/>
      <c r="E104" s="381"/>
      <c r="F104" s="175"/>
      <c r="G104" s="309">
        <f t="shared" si="11"/>
        <v>0</v>
      </c>
      <c r="H104" s="382">
        <f t="shared" si="19"/>
        <v>0</v>
      </c>
      <c r="I104" s="382">
        <f t="shared" si="20"/>
        <v>0</v>
      </c>
      <c r="J104" s="160">
        <f>ROUND(F104*(1+'Información general'!$F$10),0)</f>
        <v>0</v>
      </c>
      <c r="K104" s="160">
        <f t="shared" si="15"/>
        <v>0</v>
      </c>
      <c r="L104" s="177">
        <f t="shared" si="21"/>
        <v>0</v>
      </c>
      <c r="M104" s="382">
        <f t="shared" si="16"/>
        <v>0</v>
      </c>
      <c r="N104" s="161">
        <f t="shared" si="17"/>
        <v>0</v>
      </c>
      <c r="P104" s="54">
        <f t="shared" si="18"/>
        <v>0</v>
      </c>
    </row>
    <row r="105" spans="1:16" ht="14.25" hidden="1">
      <c r="A105" s="54">
        <f>IF(J105=0,0,IF(J105&lt;'Información general'!$F$13*2,H105,0))</f>
        <v>0</v>
      </c>
      <c r="B105" s="378"/>
      <c r="C105" s="174"/>
      <c r="D105" s="380"/>
      <c r="E105" s="381"/>
      <c r="F105" s="175"/>
      <c r="G105" s="309">
        <f t="shared" si="11"/>
        <v>0</v>
      </c>
      <c r="H105" s="382">
        <f t="shared" si="19"/>
        <v>0</v>
      </c>
      <c r="I105" s="382">
        <f t="shared" si="20"/>
        <v>0</v>
      </c>
      <c r="J105" s="160">
        <f>ROUND(F105*(1+'Información general'!$F$10),0)</f>
        <v>0</v>
      </c>
      <c r="K105" s="160">
        <f t="shared" si="15"/>
        <v>0</v>
      </c>
      <c r="L105" s="177">
        <f t="shared" si="21"/>
        <v>0</v>
      </c>
      <c r="M105" s="382">
        <f t="shared" si="16"/>
        <v>0</v>
      </c>
      <c r="N105" s="161">
        <f t="shared" si="17"/>
        <v>0</v>
      </c>
      <c r="P105" s="54">
        <f t="shared" si="18"/>
        <v>0</v>
      </c>
    </row>
    <row r="106" spans="1:16" ht="14.25" hidden="1">
      <c r="A106" s="54">
        <f>IF(J106=0,0,IF(J106&lt;'Información general'!$F$13*2,H106,0))</f>
        <v>0</v>
      </c>
      <c r="B106" s="378"/>
      <c r="C106" s="174"/>
      <c r="D106" s="380"/>
      <c r="E106" s="381"/>
      <c r="F106" s="175"/>
      <c r="G106" s="309">
        <f t="shared" si="11"/>
        <v>0</v>
      </c>
      <c r="H106" s="382">
        <f t="shared" si="19"/>
        <v>0</v>
      </c>
      <c r="I106" s="382">
        <f t="shared" si="20"/>
        <v>0</v>
      </c>
      <c r="J106" s="160">
        <f>ROUND(F106*(1+'Información general'!$F$10),0)</f>
        <v>0</v>
      </c>
      <c r="K106" s="160">
        <f t="shared" si="15"/>
        <v>0</v>
      </c>
      <c r="L106" s="177">
        <f t="shared" si="21"/>
        <v>0</v>
      </c>
      <c r="M106" s="382">
        <f t="shared" si="16"/>
        <v>0</v>
      </c>
      <c r="N106" s="161">
        <f t="shared" si="17"/>
        <v>0</v>
      </c>
      <c r="P106" s="54">
        <f t="shared" si="18"/>
        <v>0</v>
      </c>
    </row>
    <row r="107" spans="1:16" ht="14.25" hidden="1">
      <c r="A107" s="54">
        <f>IF(J107=0,0,IF(J107&lt;'Información general'!$F$13*2,H107,0))</f>
        <v>0</v>
      </c>
      <c r="B107" s="378"/>
      <c r="C107" s="174"/>
      <c r="D107" s="380"/>
      <c r="E107" s="381"/>
      <c r="F107" s="175"/>
      <c r="G107" s="309">
        <f t="shared" si="11"/>
        <v>0</v>
      </c>
      <c r="H107" s="382">
        <f t="shared" si="19"/>
        <v>0</v>
      </c>
      <c r="I107" s="382">
        <f t="shared" si="20"/>
        <v>0</v>
      </c>
      <c r="J107" s="160">
        <f>ROUND(F107*(1+'Información general'!$F$10),0)</f>
        <v>0</v>
      </c>
      <c r="K107" s="160">
        <f t="shared" si="15"/>
        <v>0</v>
      </c>
      <c r="L107" s="177">
        <f t="shared" si="21"/>
        <v>0</v>
      </c>
      <c r="M107" s="382">
        <f t="shared" si="16"/>
        <v>0</v>
      </c>
      <c r="N107" s="161">
        <f t="shared" si="17"/>
        <v>0</v>
      </c>
      <c r="P107" s="54">
        <f t="shared" si="18"/>
        <v>0</v>
      </c>
    </row>
    <row r="108" spans="1:16" ht="14.25" hidden="1">
      <c r="A108" s="54">
        <f>IF(J108=0,0,IF(J108&lt;'Información general'!$F$13*2,H108,0))</f>
        <v>0</v>
      </c>
      <c r="B108" s="378"/>
      <c r="C108" s="174"/>
      <c r="D108" s="380"/>
      <c r="E108" s="381"/>
      <c r="F108" s="175"/>
      <c r="G108" s="309">
        <f t="shared" si="11"/>
        <v>0</v>
      </c>
      <c r="H108" s="382">
        <f t="shared" si="19"/>
        <v>0</v>
      </c>
      <c r="I108" s="382">
        <f t="shared" si="20"/>
        <v>0</v>
      </c>
      <c r="J108" s="160">
        <f>ROUND(F108*(1+'Información general'!$F$10),0)</f>
        <v>0</v>
      </c>
      <c r="K108" s="160">
        <f t="shared" si="15"/>
        <v>0</v>
      </c>
      <c r="L108" s="177">
        <f t="shared" si="21"/>
        <v>0</v>
      </c>
      <c r="M108" s="382">
        <f t="shared" si="16"/>
        <v>0</v>
      </c>
      <c r="N108" s="161">
        <f t="shared" si="17"/>
        <v>0</v>
      </c>
      <c r="O108" s="75"/>
      <c r="P108" s="54">
        <f t="shared" si="18"/>
        <v>0</v>
      </c>
    </row>
    <row r="109" spans="1:16" ht="14.25" hidden="1">
      <c r="A109" s="54">
        <f>IF(J109=0,0,IF(J109&lt;'Información general'!$F$13*2,H109,0))</f>
        <v>0</v>
      </c>
      <c r="B109" s="378"/>
      <c r="C109" s="174"/>
      <c r="D109" s="380"/>
      <c r="E109" s="381"/>
      <c r="F109" s="175"/>
      <c r="G109" s="309">
        <f t="shared" si="11"/>
        <v>0</v>
      </c>
      <c r="H109" s="382">
        <f t="shared" si="19"/>
        <v>0</v>
      </c>
      <c r="I109" s="382">
        <f t="shared" si="20"/>
        <v>0</v>
      </c>
      <c r="J109" s="160">
        <f>ROUND(F109*(1+'Información general'!$F$10),0)</f>
        <v>0</v>
      </c>
      <c r="K109" s="160">
        <f t="shared" si="15"/>
        <v>0</v>
      </c>
      <c r="L109" s="177">
        <f t="shared" si="21"/>
        <v>0</v>
      </c>
      <c r="M109" s="382">
        <f t="shared" si="16"/>
        <v>0</v>
      </c>
      <c r="N109" s="161">
        <f t="shared" si="17"/>
        <v>0</v>
      </c>
      <c r="O109" s="75"/>
      <c r="P109" s="54">
        <f t="shared" si="18"/>
        <v>0</v>
      </c>
    </row>
    <row r="110" spans="1:16" ht="14.25" hidden="1">
      <c r="A110" s="54">
        <f>IF(J110=0,0,IF(J110&lt;'Información general'!$F$13*2,H110,0))</f>
        <v>0</v>
      </c>
      <c r="B110" s="378"/>
      <c r="C110" s="174"/>
      <c r="D110" s="380"/>
      <c r="E110" s="381"/>
      <c r="F110" s="175"/>
      <c r="G110" s="309">
        <f t="shared" si="11"/>
        <v>0</v>
      </c>
      <c r="H110" s="382">
        <f t="shared" si="19"/>
        <v>0</v>
      </c>
      <c r="I110" s="382">
        <f t="shared" si="20"/>
        <v>0</v>
      </c>
      <c r="J110" s="160">
        <f>ROUND(F110*(1+'Información general'!$F$10),0)</f>
        <v>0</v>
      </c>
      <c r="K110" s="160">
        <f t="shared" si="15"/>
        <v>0</v>
      </c>
      <c r="L110" s="177">
        <f t="shared" si="21"/>
        <v>0</v>
      </c>
      <c r="M110" s="382">
        <f t="shared" si="16"/>
        <v>0</v>
      </c>
      <c r="N110" s="161">
        <f t="shared" si="17"/>
        <v>0</v>
      </c>
      <c r="O110" s="75"/>
      <c r="P110" s="54">
        <f t="shared" si="18"/>
        <v>0</v>
      </c>
    </row>
    <row r="111" spans="1:16" ht="14.25" hidden="1">
      <c r="A111" s="54">
        <f>IF(J111=0,0,IF(J111&lt;'Información general'!$F$13*2,H111,0))</f>
        <v>0</v>
      </c>
      <c r="B111" s="378"/>
      <c r="C111" s="174"/>
      <c r="D111" s="380"/>
      <c r="E111" s="381"/>
      <c r="F111" s="175"/>
      <c r="G111" s="309">
        <f t="shared" si="11"/>
        <v>0</v>
      </c>
      <c r="H111" s="382">
        <f t="shared" si="19"/>
        <v>0</v>
      </c>
      <c r="I111" s="382">
        <f t="shared" si="20"/>
        <v>0</v>
      </c>
      <c r="J111" s="160">
        <f>ROUND(F111*(1+'Información general'!$F$10),0)</f>
        <v>0</v>
      </c>
      <c r="K111" s="160">
        <f t="shared" si="15"/>
        <v>0</v>
      </c>
      <c r="L111" s="177">
        <f t="shared" si="21"/>
        <v>0</v>
      </c>
      <c r="M111" s="382">
        <f t="shared" si="16"/>
        <v>0</v>
      </c>
      <c r="N111" s="161">
        <f t="shared" si="17"/>
        <v>0</v>
      </c>
      <c r="O111" s="75"/>
      <c r="P111" s="54">
        <f t="shared" si="18"/>
        <v>0</v>
      </c>
    </row>
    <row r="112" spans="1:16" ht="14.25" hidden="1">
      <c r="A112" s="54">
        <f>IF(J112=0,0,IF(J112&lt;'Información general'!$F$13*2,H112,0))</f>
        <v>0</v>
      </c>
      <c r="B112" s="378"/>
      <c r="C112" s="174"/>
      <c r="D112" s="380"/>
      <c r="E112" s="381"/>
      <c r="F112" s="175"/>
      <c r="G112" s="309">
        <f t="shared" si="11"/>
        <v>0</v>
      </c>
      <c r="H112" s="382">
        <f t="shared" si="19"/>
        <v>0</v>
      </c>
      <c r="I112" s="382">
        <f t="shared" si="20"/>
        <v>0</v>
      </c>
      <c r="J112" s="160">
        <f>ROUND(F112*(1+'Información general'!$F$10),0)</f>
        <v>0</v>
      </c>
      <c r="K112" s="160">
        <f t="shared" si="15"/>
        <v>0</v>
      </c>
      <c r="L112" s="177">
        <f t="shared" si="21"/>
        <v>0</v>
      </c>
      <c r="M112" s="382">
        <f t="shared" si="16"/>
        <v>0</v>
      </c>
      <c r="N112" s="161">
        <f t="shared" si="17"/>
        <v>0</v>
      </c>
      <c r="O112" s="75"/>
      <c r="P112" s="54">
        <f t="shared" si="18"/>
        <v>0</v>
      </c>
    </row>
    <row r="113" spans="1:16" ht="15" hidden="1" thickBot="1">
      <c r="A113" s="54">
        <f>IF(J113=0,0,IF(J113&lt;'Información general'!$F$13*2,H113,0))</f>
        <v>0</v>
      </c>
      <c r="B113" s="379"/>
      <c r="C113" s="176"/>
      <c r="D113" s="381"/>
      <c r="E113" s="381"/>
      <c r="F113" s="175"/>
      <c r="G113" s="309">
        <f t="shared" si="11"/>
        <v>0</v>
      </c>
      <c r="H113" s="382">
        <f t="shared" si="19"/>
        <v>0</v>
      </c>
      <c r="I113" s="382">
        <f t="shared" si="20"/>
        <v>0</v>
      </c>
      <c r="J113" s="160">
        <f>ROUND(F113*(1+'Información general'!$F$10),0)</f>
        <v>0</v>
      </c>
      <c r="K113" s="160">
        <f t="shared" si="15"/>
        <v>0</v>
      </c>
      <c r="L113" s="177">
        <f t="shared" si="21"/>
        <v>0</v>
      </c>
      <c r="M113" s="382">
        <f t="shared" si="16"/>
        <v>0</v>
      </c>
      <c r="N113" s="161">
        <f t="shared" si="17"/>
        <v>0</v>
      </c>
      <c r="P113" s="54">
        <f t="shared" si="18"/>
        <v>0</v>
      </c>
    </row>
    <row r="114" spans="1:16" s="166" customFormat="1" ht="17.25" thickBot="1">
      <c r="A114" s="54">
        <f>+SUM(A13:A113)</f>
        <v>0</v>
      </c>
      <c r="B114" s="162" t="s">
        <v>10</v>
      </c>
      <c r="C114" s="163"/>
      <c r="D114" s="164">
        <f>+SUM(D12:D113)</f>
        <v>8</v>
      </c>
      <c r="E114" s="713"/>
      <c r="F114" s="714"/>
      <c r="G114" s="164">
        <f>+SUM(G12:G113)</f>
        <v>44223668.290791355</v>
      </c>
      <c r="H114" s="164">
        <f>+SUM(H12:H113)</f>
        <v>8</v>
      </c>
      <c r="I114" s="713"/>
      <c r="J114" s="714"/>
      <c r="K114" s="164">
        <f>+SUM(K12:K113)</f>
        <v>46434850</v>
      </c>
      <c r="L114" s="715"/>
      <c r="M114" s="716"/>
      <c r="N114" s="165">
        <f>+SUM(N12:N113)</f>
        <v>557218200</v>
      </c>
      <c r="P114" s="54">
        <v>1</v>
      </c>
    </row>
    <row r="115" spans="2:16" s="166" customFormat="1" ht="13.5" thickBot="1">
      <c r="B115" s="167"/>
      <c r="C115" s="168"/>
      <c r="D115" s="168"/>
      <c r="E115" s="168"/>
      <c r="F115" s="168"/>
      <c r="G115" s="168"/>
      <c r="H115" s="168"/>
      <c r="I115" s="168"/>
      <c r="J115" s="168"/>
      <c r="K115" s="168"/>
      <c r="L115" s="168"/>
      <c r="M115" s="168"/>
      <c r="N115" s="169"/>
      <c r="P115" s="54">
        <v>1</v>
      </c>
    </row>
    <row r="116" spans="2:16" ht="16.5">
      <c r="B116" s="170"/>
      <c r="C116" s="152" t="s">
        <v>11</v>
      </c>
      <c r="D116" s="153"/>
      <c r="E116" s="154"/>
      <c r="F116" s="153"/>
      <c r="G116" s="155"/>
      <c r="H116" s="153"/>
      <c r="I116" s="154"/>
      <c r="J116" s="153"/>
      <c r="K116" s="155"/>
      <c r="L116" s="156"/>
      <c r="M116" s="153"/>
      <c r="N116" s="157"/>
      <c r="P116" s="54">
        <v>1</v>
      </c>
    </row>
    <row r="117" spans="2:16" ht="16.5">
      <c r="B117" s="170"/>
      <c r="C117" s="152"/>
      <c r="D117" s="153"/>
      <c r="E117" s="154"/>
      <c r="F117" s="153"/>
      <c r="G117" s="155"/>
      <c r="H117" s="153"/>
      <c r="I117" s="154"/>
      <c r="J117" s="153"/>
      <c r="K117" s="155"/>
      <c r="L117" s="156"/>
      <c r="M117" s="153"/>
      <c r="N117" s="157"/>
      <c r="P117" s="54">
        <v>1</v>
      </c>
    </row>
    <row r="118" spans="1:16" ht="14.25">
      <c r="A118" s="54">
        <f>IF(J118=0,0,IF(J118&lt;'Información general'!$F$13*2,H118,0))</f>
        <v>0</v>
      </c>
      <c r="B118" s="378" t="s">
        <v>718</v>
      </c>
      <c r="C118" s="587" t="s">
        <v>719</v>
      </c>
      <c r="D118" s="380">
        <v>1</v>
      </c>
      <c r="E118" s="588">
        <v>6</v>
      </c>
      <c r="F118" s="175">
        <v>5860976.6376</v>
      </c>
      <c r="G118" s="309">
        <f>+D118*F118</f>
        <v>5860976.6376</v>
      </c>
      <c r="H118" s="382">
        <f>D118</f>
        <v>1</v>
      </c>
      <c r="I118" s="382">
        <f aca="true" t="shared" si="22" ref="I118:I172">+E118</f>
        <v>6</v>
      </c>
      <c r="J118" s="160">
        <f>ROUND(F118*(1+'Información general'!$F$10),0)</f>
        <v>6154025</v>
      </c>
      <c r="K118" s="160">
        <f>+H118*J118</f>
        <v>6154025</v>
      </c>
      <c r="L118" s="177">
        <f aca="true" t="shared" si="23" ref="L118:L172">IF(H118=0,0,ROUND((IF(G118=0," ",+(J118/F118-1)*100)),3))/100</f>
        <v>0.05</v>
      </c>
      <c r="M118" s="382">
        <f aca="true" t="shared" si="24" ref="M118:M172">+IF(H118&gt;0,12,0)</f>
        <v>12</v>
      </c>
      <c r="N118" s="161">
        <f>+K118*M118</f>
        <v>73848300</v>
      </c>
      <c r="O118" s="75"/>
      <c r="P118" s="54">
        <f t="shared" si="18"/>
        <v>1</v>
      </c>
    </row>
    <row r="119" spans="1:16" ht="14.25">
      <c r="A119" s="54">
        <f>IF(J119=0,0,IF(J119&lt;'Información general'!$F$13*2,H119,0))</f>
        <v>0</v>
      </c>
      <c r="B119" s="378" t="s">
        <v>718</v>
      </c>
      <c r="C119" s="587" t="s">
        <v>720</v>
      </c>
      <c r="D119" s="380">
        <v>1</v>
      </c>
      <c r="E119" s="588">
        <v>6</v>
      </c>
      <c r="F119" s="175">
        <v>5283444.15144</v>
      </c>
      <c r="G119" s="309">
        <f aca="true" t="shared" si="25" ref="G119:G173">+D119*F119</f>
        <v>5283444.15144</v>
      </c>
      <c r="H119" s="382">
        <f aca="true" t="shared" si="26" ref="H119:H173">D119</f>
        <v>1</v>
      </c>
      <c r="I119" s="382">
        <f t="shared" si="22"/>
        <v>6</v>
      </c>
      <c r="J119" s="160">
        <f>ROUND(F119*(1+'Información general'!$F$10),0)</f>
        <v>5547616</v>
      </c>
      <c r="K119" s="160">
        <f aca="true" t="shared" si="27" ref="K119:K173">+H119*J119</f>
        <v>5547616</v>
      </c>
      <c r="L119" s="177">
        <f t="shared" si="23"/>
        <v>0.05</v>
      </c>
      <c r="M119" s="382">
        <f t="shared" si="24"/>
        <v>12</v>
      </c>
      <c r="N119" s="161">
        <f aca="true" t="shared" si="28" ref="N119:N173">+K119*M119</f>
        <v>66571392</v>
      </c>
      <c r="O119" s="75"/>
      <c r="P119" s="54">
        <f t="shared" si="18"/>
        <v>1</v>
      </c>
    </row>
    <row r="120" spans="1:16" ht="14.25">
      <c r="A120" s="54">
        <f>IF(J120=0,0,IF(J120&lt;'Información general'!$F$13*2,H120,0))</f>
        <v>0</v>
      </c>
      <c r="B120" s="378" t="s">
        <v>640</v>
      </c>
      <c r="C120" s="587" t="s">
        <v>721</v>
      </c>
      <c r="D120" s="380">
        <v>4</v>
      </c>
      <c r="E120" s="588">
        <v>7.33</v>
      </c>
      <c r="F120" s="175">
        <v>6441620.7115008</v>
      </c>
      <c r="G120" s="309">
        <f t="shared" si="25"/>
        <v>25766482.8460032</v>
      </c>
      <c r="H120" s="382">
        <f t="shared" si="26"/>
        <v>4</v>
      </c>
      <c r="I120" s="382">
        <f t="shared" si="22"/>
        <v>7.33</v>
      </c>
      <c r="J120" s="160">
        <f>ROUND(F120*(1+'Información general'!$F$10),0)</f>
        <v>6763702</v>
      </c>
      <c r="K120" s="160">
        <f t="shared" si="27"/>
        <v>27054808</v>
      </c>
      <c r="L120" s="177">
        <f t="shared" si="23"/>
        <v>0.05</v>
      </c>
      <c r="M120" s="382">
        <f t="shared" si="24"/>
        <v>12</v>
      </c>
      <c r="N120" s="161">
        <f t="shared" si="28"/>
        <v>324657696</v>
      </c>
      <c r="O120" s="75"/>
      <c r="P120" s="54">
        <f t="shared" si="18"/>
        <v>1</v>
      </c>
    </row>
    <row r="121" spans="1:16" ht="14.25">
      <c r="A121" s="54">
        <f>IF(J121=0,0,IF(J121&lt;'Información general'!$F$13*2,H121,0))</f>
        <v>0</v>
      </c>
      <c r="B121" s="378" t="s">
        <v>640</v>
      </c>
      <c r="C121" s="587" t="s">
        <v>721</v>
      </c>
      <c r="D121" s="380">
        <v>3</v>
      </c>
      <c r="E121" s="588">
        <v>7.33</v>
      </c>
      <c r="F121" s="175">
        <v>5280016.97664</v>
      </c>
      <c r="G121" s="309">
        <f t="shared" si="25"/>
        <v>15840050.92992</v>
      </c>
      <c r="H121" s="382">
        <f t="shared" si="26"/>
        <v>3</v>
      </c>
      <c r="I121" s="382">
        <f t="shared" si="22"/>
        <v>7.33</v>
      </c>
      <c r="J121" s="160">
        <f>ROUND(F121*(1+'Información general'!$F$10),0)</f>
        <v>5544018</v>
      </c>
      <c r="K121" s="160">
        <f t="shared" si="27"/>
        <v>16632054</v>
      </c>
      <c r="L121" s="177">
        <f t="shared" si="23"/>
        <v>0.05</v>
      </c>
      <c r="M121" s="382">
        <f t="shared" si="24"/>
        <v>12</v>
      </c>
      <c r="N121" s="161">
        <f t="shared" si="28"/>
        <v>199584648</v>
      </c>
      <c r="O121" s="75"/>
      <c r="P121" s="54">
        <f t="shared" si="18"/>
        <v>1</v>
      </c>
    </row>
    <row r="122" spans="1:16" ht="14.25">
      <c r="A122" s="54">
        <f>IF(J122=0,0,IF(J122&lt;'Información general'!$F$13*2,H122,0))</f>
        <v>0</v>
      </c>
      <c r="B122" s="378" t="s">
        <v>641</v>
      </c>
      <c r="C122" s="587" t="s">
        <v>722</v>
      </c>
      <c r="D122" s="380">
        <v>3</v>
      </c>
      <c r="E122" s="588">
        <v>7.33</v>
      </c>
      <c r="F122" s="175">
        <v>3810363.84792</v>
      </c>
      <c r="G122" s="309">
        <f t="shared" si="25"/>
        <v>11431091.54376</v>
      </c>
      <c r="H122" s="382">
        <f t="shared" si="26"/>
        <v>3</v>
      </c>
      <c r="I122" s="382">
        <f t="shared" si="22"/>
        <v>7.33</v>
      </c>
      <c r="J122" s="160">
        <f>ROUND(F122*(1+'Información general'!$F$10),0)</f>
        <v>4000882</v>
      </c>
      <c r="K122" s="160">
        <f t="shared" si="27"/>
        <v>12002646</v>
      </c>
      <c r="L122" s="177">
        <f t="shared" si="23"/>
        <v>0.05</v>
      </c>
      <c r="M122" s="382">
        <f t="shared" si="24"/>
        <v>12</v>
      </c>
      <c r="N122" s="161">
        <f t="shared" si="28"/>
        <v>144031752</v>
      </c>
      <c r="O122" s="75"/>
      <c r="P122" s="54">
        <f t="shared" si="18"/>
        <v>1</v>
      </c>
    </row>
    <row r="123" spans="1:16" ht="14.25">
      <c r="A123" s="54">
        <f>IF(J123=0,0,IF(J123&lt;'Información general'!$F$13*2,H123,0))</f>
        <v>0</v>
      </c>
      <c r="B123" s="378" t="s">
        <v>723</v>
      </c>
      <c r="C123" s="587" t="s">
        <v>724</v>
      </c>
      <c r="D123" s="380">
        <v>3</v>
      </c>
      <c r="E123" s="588">
        <v>6</v>
      </c>
      <c r="F123" s="175">
        <v>2741412.02328</v>
      </c>
      <c r="G123" s="309">
        <f t="shared" si="25"/>
        <v>8224236.069839999</v>
      </c>
      <c r="H123" s="382">
        <f t="shared" si="26"/>
        <v>3</v>
      </c>
      <c r="I123" s="382">
        <f t="shared" si="22"/>
        <v>6</v>
      </c>
      <c r="J123" s="160">
        <f>ROUND(F123*(1+'Información general'!$F$10),0)</f>
        <v>2878483</v>
      </c>
      <c r="K123" s="160">
        <f t="shared" si="27"/>
        <v>8635449</v>
      </c>
      <c r="L123" s="177">
        <f t="shared" si="23"/>
        <v>0.05</v>
      </c>
      <c r="M123" s="382">
        <f t="shared" si="24"/>
        <v>12</v>
      </c>
      <c r="N123" s="161">
        <f t="shared" si="28"/>
        <v>103625388</v>
      </c>
      <c r="O123" s="75"/>
      <c r="P123" s="54">
        <f t="shared" si="18"/>
        <v>1</v>
      </c>
    </row>
    <row r="124" spans="1:16" ht="14.25">
      <c r="A124" s="54">
        <f>IF(J124=0,0,IF(J124&lt;'Información general'!$F$13*2,H124,0))</f>
        <v>0</v>
      </c>
      <c r="B124" s="378" t="s">
        <v>723</v>
      </c>
      <c r="C124" s="587" t="s">
        <v>724</v>
      </c>
      <c r="D124" s="380">
        <v>1</v>
      </c>
      <c r="E124" s="588">
        <v>6</v>
      </c>
      <c r="F124" s="175">
        <v>3140721.486</v>
      </c>
      <c r="G124" s="309">
        <f t="shared" si="25"/>
        <v>3140721.486</v>
      </c>
      <c r="H124" s="382">
        <f t="shared" si="26"/>
        <v>1</v>
      </c>
      <c r="I124" s="382">
        <f t="shared" si="22"/>
        <v>6</v>
      </c>
      <c r="J124" s="160">
        <f>ROUND(F124*(1+'Información general'!$F$10),0)</f>
        <v>3297758</v>
      </c>
      <c r="K124" s="160">
        <f t="shared" si="27"/>
        <v>3297758</v>
      </c>
      <c r="L124" s="177">
        <f t="shared" si="23"/>
        <v>0.05</v>
      </c>
      <c r="M124" s="382">
        <f t="shared" si="24"/>
        <v>12</v>
      </c>
      <c r="N124" s="161">
        <f t="shared" si="28"/>
        <v>39573096</v>
      </c>
      <c r="O124" s="75"/>
      <c r="P124" s="54">
        <f t="shared" si="18"/>
        <v>1</v>
      </c>
    </row>
    <row r="125" spans="1:16" ht="14.25">
      <c r="A125" s="54">
        <f>IF(J125=0,0,IF(J125&lt;'Información general'!$F$13*2,H125,0))</f>
        <v>0</v>
      </c>
      <c r="B125" s="378" t="s">
        <v>723</v>
      </c>
      <c r="C125" s="587" t="s">
        <v>725</v>
      </c>
      <c r="D125" s="380">
        <v>1</v>
      </c>
      <c r="E125" s="588">
        <v>6</v>
      </c>
      <c r="F125" s="175">
        <v>2966137.5592799997</v>
      </c>
      <c r="G125" s="309">
        <f t="shared" si="25"/>
        <v>2966137.5592799997</v>
      </c>
      <c r="H125" s="382">
        <f t="shared" si="26"/>
        <v>1</v>
      </c>
      <c r="I125" s="382">
        <f t="shared" si="22"/>
        <v>6</v>
      </c>
      <c r="J125" s="160">
        <f>ROUND(F125*(1+'Información general'!$F$10),0)</f>
        <v>3114444</v>
      </c>
      <c r="K125" s="160">
        <f t="shared" si="27"/>
        <v>3114444</v>
      </c>
      <c r="L125" s="177">
        <f t="shared" si="23"/>
        <v>0.05</v>
      </c>
      <c r="M125" s="382">
        <f t="shared" si="24"/>
        <v>12</v>
      </c>
      <c r="N125" s="161">
        <f t="shared" si="28"/>
        <v>37373328</v>
      </c>
      <c r="O125" s="75"/>
      <c r="P125" s="54">
        <f t="shared" si="18"/>
        <v>1</v>
      </c>
    </row>
    <row r="126" spans="1:16" ht="14.25">
      <c r="A126" s="54">
        <f>IF(J126=0,0,IF(J126&lt;'Información general'!$F$13*2,H126,0))</f>
        <v>0</v>
      </c>
      <c r="B126" s="378" t="s">
        <v>174</v>
      </c>
      <c r="C126" s="587" t="s">
        <v>726</v>
      </c>
      <c r="D126" s="380">
        <v>7</v>
      </c>
      <c r="E126" s="588">
        <v>7.33</v>
      </c>
      <c r="F126" s="175">
        <v>2049931.76976</v>
      </c>
      <c r="G126" s="309">
        <f t="shared" si="25"/>
        <v>14349522.38832</v>
      </c>
      <c r="H126" s="382">
        <f t="shared" si="26"/>
        <v>7</v>
      </c>
      <c r="I126" s="382">
        <f t="shared" si="22"/>
        <v>7.33</v>
      </c>
      <c r="J126" s="160">
        <f>ROUND(F126*(1+'Información general'!$F$10),0)</f>
        <v>2152428</v>
      </c>
      <c r="K126" s="160">
        <f t="shared" si="27"/>
        <v>15066996</v>
      </c>
      <c r="L126" s="177">
        <f t="shared" si="23"/>
        <v>0.05</v>
      </c>
      <c r="M126" s="382">
        <f t="shared" si="24"/>
        <v>12</v>
      </c>
      <c r="N126" s="161">
        <f t="shared" si="28"/>
        <v>180803952</v>
      </c>
      <c r="O126" s="75"/>
      <c r="P126" s="54">
        <f t="shared" si="18"/>
        <v>1</v>
      </c>
    </row>
    <row r="127" spans="1:16" ht="14.25">
      <c r="A127" s="54">
        <f>IF(J127=0,0,IF(J127&lt;'Información general'!$F$13*2,H127,0))</f>
        <v>0</v>
      </c>
      <c r="B127" s="378" t="s">
        <v>174</v>
      </c>
      <c r="C127" s="587" t="s">
        <v>726</v>
      </c>
      <c r="D127" s="380">
        <v>2</v>
      </c>
      <c r="E127" s="588">
        <v>7.33</v>
      </c>
      <c r="F127" s="175">
        <v>2351434.8513599997</v>
      </c>
      <c r="G127" s="309">
        <f t="shared" si="25"/>
        <v>4702869.7027199995</v>
      </c>
      <c r="H127" s="382">
        <f t="shared" si="26"/>
        <v>2</v>
      </c>
      <c r="I127" s="382">
        <f t="shared" si="22"/>
        <v>7.33</v>
      </c>
      <c r="J127" s="160">
        <f>ROUND(F127*(1+'Información general'!$F$10),0)</f>
        <v>2469007</v>
      </c>
      <c r="K127" s="160">
        <f t="shared" si="27"/>
        <v>4938014</v>
      </c>
      <c r="L127" s="177">
        <f t="shared" si="23"/>
        <v>0.05</v>
      </c>
      <c r="M127" s="382">
        <f t="shared" si="24"/>
        <v>12</v>
      </c>
      <c r="N127" s="161">
        <f t="shared" si="28"/>
        <v>59256168</v>
      </c>
      <c r="O127" s="75"/>
      <c r="P127" s="54">
        <f t="shared" si="18"/>
        <v>1</v>
      </c>
    </row>
    <row r="128" spans="1:16" ht="14.25">
      <c r="A128" s="54">
        <f>IF(J128=0,0,IF(J128&lt;'Información general'!$F$13*2,H128,0))</f>
        <v>2</v>
      </c>
      <c r="B128" s="378" t="s">
        <v>174</v>
      </c>
      <c r="C128" s="587" t="s">
        <v>727</v>
      </c>
      <c r="D128" s="380">
        <v>2</v>
      </c>
      <c r="E128" s="588">
        <v>7.33</v>
      </c>
      <c r="F128" s="175">
        <v>1637568.13752</v>
      </c>
      <c r="G128" s="309">
        <f>+D128*F128</f>
        <v>3275136.27504</v>
      </c>
      <c r="H128" s="382">
        <f t="shared" si="26"/>
        <v>2</v>
      </c>
      <c r="I128" s="382">
        <f t="shared" si="22"/>
        <v>7.33</v>
      </c>
      <c r="J128" s="160">
        <f>ROUND(F128*(1+'Información general'!$F$10),0)</f>
        <v>1719447</v>
      </c>
      <c r="K128" s="160">
        <f t="shared" si="27"/>
        <v>3438894</v>
      </c>
      <c r="L128" s="177">
        <f t="shared" si="23"/>
        <v>0.05</v>
      </c>
      <c r="M128" s="382">
        <f t="shared" si="24"/>
        <v>12</v>
      </c>
      <c r="N128" s="161">
        <f t="shared" si="28"/>
        <v>41266728</v>
      </c>
      <c r="O128" s="75"/>
      <c r="P128" s="54">
        <f t="shared" si="18"/>
        <v>1</v>
      </c>
    </row>
    <row r="129" spans="1:16" ht="14.25">
      <c r="A129" s="54">
        <f>IF(J129=0,0,IF(J129&lt;'Información general'!$F$13*2,H129,0))</f>
        <v>0</v>
      </c>
      <c r="B129" s="378"/>
      <c r="C129" s="174"/>
      <c r="D129" s="380"/>
      <c r="E129" s="381"/>
      <c r="F129" s="175"/>
      <c r="G129" s="309">
        <f t="shared" si="25"/>
        <v>0</v>
      </c>
      <c r="H129" s="382">
        <f t="shared" si="26"/>
        <v>0</v>
      </c>
      <c r="I129" s="382">
        <f t="shared" si="22"/>
        <v>0</v>
      </c>
      <c r="J129" s="160">
        <f>ROUND(F129*(1+'Información general'!$F$10),0)</f>
        <v>0</v>
      </c>
      <c r="K129" s="160">
        <f t="shared" si="27"/>
        <v>0</v>
      </c>
      <c r="L129" s="177">
        <f t="shared" si="23"/>
        <v>0</v>
      </c>
      <c r="M129" s="382">
        <f t="shared" si="24"/>
        <v>0</v>
      </c>
      <c r="N129" s="161">
        <f t="shared" si="28"/>
        <v>0</v>
      </c>
      <c r="O129" s="75"/>
      <c r="P129" s="54">
        <f t="shared" si="18"/>
        <v>0</v>
      </c>
    </row>
    <row r="130" spans="1:16" ht="15" thickBot="1">
      <c r="A130" s="54">
        <f>IF(J130=0,0,IF(J130&lt;'Información general'!$F$13*2,H130,0))</f>
        <v>0</v>
      </c>
      <c r="B130" s="378"/>
      <c r="C130" s="174"/>
      <c r="D130" s="380"/>
      <c r="E130" s="381"/>
      <c r="F130" s="175"/>
      <c r="G130" s="309">
        <f t="shared" si="25"/>
        <v>0</v>
      </c>
      <c r="H130" s="382">
        <f t="shared" si="26"/>
        <v>0</v>
      </c>
      <c r="I130" s="382">
        <f t="shared" si="22"/>
        <v>0</v>
      </c>
      <c r="J130" s="160">
        <f>ROUND(F130*(1+'Información general'!$F$10),0)</f>
        <v>0</v>
      </c>
      <c r="K130" s="160">
        <f t="shared" si="27"/>
        <v>0</v>
      </c>
      <c r="L130" s="177">
        <f t="shared" si="23"/>
        <v>0</v>
      </c>
      <c r="M130" s="382">
        <f t="shared" si="24"/>
        <v>0</v>
      </c>
      <c r="N130" s="161">
        <f t="shared" si="28"/>
        <v>0</v>
      </c>
      <c r="O130" s="75"/>
      <c r="P130" s="54">
        <f t="shared" si="18"/>
        <v>0</v>
      </c>
    </row>
    <row r="131" spans="1:16" ht="14.25" hidden="1">
      <c r="A131" s="54">
        <f>IF(J131=0,0,IF(J131&lt;'Información general'!$F$13*2,H131,0))</f>
        <v>0</v>
      </c>
      <c r="B131" s="378"/>
      <c r="C131" s="174"/>
      <c r="D131" s="380"/>
      <c r="E131" s="381"/>
      <c r="F131" s="175"/>
      <c r="G131" s="309">
        <f t="shared" si="25"/>
        <v>0</v>
      </c>
      <c r="H131" s="382">
        <f t="shared" si="26"/>
        <v>0</v>
      </c>
      <c r="I131" s="382">
        <f t="shared" si="22"/>
        <v>0</v>
      </c>
      <c r="J131" s="160">
        <f>ROUND(F131*(1+'Información general'!$F$10),0)</f>
        <v>0</v>
      </c>
      <c r="K131" s="160">
        <f t="shared" si="27"/>
        <v>0</v>
      </c>
      <c r="L131" s="177">
        <f t="shared" si="23"/>
        <v>0</v>
      </c>
      <c r="M131" s="382">
        <f t="shared" si="24"/>
        <v>0</v>
      </c>
      <c r="N131" s="161">
        <f t="shared" si="28"/>
        <v>0</v>
      </c>
      <c r="O131" s="75"/>
      <c r="P131" s="54">
        <f aca="true" t="shared" si="29" ref="P131:P190">+IF(COUNT(B131:N131)&gt;8,1,0)</f>
        <v>0</v>
      </c>
    </row>
    <row r="132" spans="1:16" ht="14.25" hidden="1">
      <c r="A132" s="54">
        <f>IF(J132=0,0,IF(J132&lt;'Información general'!$F$13*2,H132,0))</f>
        <v>0</v>
      </c>
      <c r="B132" s="378"/>
      <c r="C132" s="174"/>
      <c r="D132" s="380"/>
      <c r="E132" s="381"/>
      <c r="F132" s="175"/>
      <c r="G132" s="309">
        <f t="shared" si="25"/>
        <v>0</v>
      </c>
      <c r="H132" s="382">
        <f t="shared" si="26"/>
        <v>0</v>
      </c>
      <c r="I132" s="382">
        <f t="shared" si="22"/>
        <v>0</v>
      </c>
      <c r="J132" s="160">
        <f>ROUND(F132*(1+'Información general'!$F$10),0)</f>
        <v>0</v>
      </c>
      <c r="K132" s="160">
        <f t="shared" si="27"/>
        <v>0</v>
      </c>
      <c r="L132" s="177">
        <f t="shared" si="23"/>
        <v>0</v>
      </c>
      <c r="M132" s="382">
        <f t="shared" si="24"/>
        <v>0</v>
      </c>
      <c r="N132" s="161">
        <f t="shared" si="28"/>
        <v>0</v>
      </c>
      <c r="O132" s="75"/>
      <c r="P132" s="54">
        <f t="shared" si="29"/>
        <v>0</v>
      </c>
    </row>
    <row r="133" spans="1:16" ht="14.25" hidden="1">
      <c r="A133" s="54">
        <f>IF(J133=0,0,IF(J133&lt;'Información general'!$F$13*2,H133,0))</f>
        <v>0</v>
      </c>
      <c r="B133" s="378"/>
      <c r="C133" s="174"/>
      <c r="D133" s="380"/>
      <c r="E133" s="381"/>
      <c r="F133" s="175"/>
      <c r="G133" s="309">
        <f t="shared" si="25"/>
        <v>0</v>
      </c>
      <c r="H133" s="382">
        <f t="shared" si="26"/>
        <v>0</v>
      </c>
      <c r="I133" s="382">
        <f t="shared" si="22"/>
        <v>0</v>
      </c>
      <c r="J133" s="160">
        <f>ROUND(F133*(1+'Información general'!$F$10),0)</f>
        <v>0</v>
      </c>
      <c r="K133" s="160">
        <f t="shared" si="27"/>
        <v>0</v>
      </c>
      <c r="L133" s="177">
        <f t="shared" si="23"/>
        <v>0</v>
      </c>
      <c r="M133" s="382">
        <f t="shared" si="24"/>
        <v>0</v>
      </c>
      <c r="N133" s="161">
        <f t="shared" si="28"/>
        <v>0</v>
      </c>
      <c r="O133" s="75"/>
      <c r="P133" s="54">
        <f t="shared" si="29"/>
        <v>0</v>
      </c>
    </row>
    <row r="134" spans="1:16" ht="14.25" hidden="1">
      <c r="A134" s="54">
        <f>IF(J134=0,0,IF(J134&lt;'Información general'!$F$13*2,H134,0))</f>
        <v>0</v>
      </c>
      <c r="B134" s="378"/>
      <c r="C134" s="174"/>
      <c r="D134" s="380"/>
      <c r="E134" s="381"/>
      <c r="F134" s="175"/>
      <c r="G134" s="309">
        <f t="shared" si="25"/>
        <v>0</v>
      </c>
      <c r="H134" s="382">
        <f t="shared" si="26"/>
        <v>0</v>
      </c>
      <c r="I134" s="382">
        <f t="shared" si="22"/>
        <v>0</v>
      </c>
      <c r="J134" s="160">
        <f>ROUND(F134*(1+'Información general'!$F$10),0)</f>
        <v>0</v>
      </c>
      <c r="K134" s="160">
        <f t="shared" si="27"/>
        <v>0</v>
      </c>
      <c r="L134" s="177">
        <f t="shared" si="23"/>
        <v>0</v>
      </c>
      <c r="M134" s="382">
        <f t="shared" si="24"/>
        <v>0</v>
      </c>
      <c r="N134" s="161">
        <f t="shared" si="28"/>
        <v>0</v>
      </c>
      <c r="O134" s="75"/>
      <c r="P134" s="54">
        <f t="shared" si="29"/>
        <v>0</v>
      </c>
    </row>
    <row r="135" spans="1:16" ht="14.25" hidden="1">
      <c r="A135" s="54">
        <f>IF(J135=0,0,IF(J135&lt;'Información general'!$F$13*2,H135,0))</f>
        <v>0</v>
      </c>
      <c r="B135" s="378"/>
      <c r="C135" s="174"/>
      <c r="D135" s="380"/>
      <c r="E135" s="381"/>
      <c r="F135" s="175"/>
      <c r="G135" s="309">
        <f t="shared" si="25"/>
        <v>0</v>
      </c>
      <c r="H135" s="382">
        <f t="shared" si="26"/>
        <v>0</v>
      </c>
      <c r="I135" s="382">
        <f t="shared" si="22"/>
        <v>0</v>
      </c>
      <c r="J135" s="160">
        <f>ROUND(F135*(1+'Información general'!$F$10),0)</f>
        <v>0</v>
      </c>
      <c r="K135" s="160">
        <f t="shared" si="27"/>
        <v>0</v>
      </c>
      <c r="L135" s="177">
        <f t="shared" si="23"/>
        <v>0</v>
      </c>
      <c r="M135" s="382">
        <f t="shared" si="24"/>
        <v>0</v>
      </c>
      <c r="N135" s="161">
        <f t="shared" si="28"/>
        <v>0</v>
      </c>
      <c r="O135" s="75"/>
      <c r="P135" s="54">
        <f t="shared" si="29"/>
        <v>0</v>
      </c>
    </row>
    <row r="136" spans="1:16" ht="14.25" hidden="1">
      <c r="A136" s="54">
        <f>IF(J136=0,0,IF(J136&lt;'Información general'!$F$13*2,H136,0))</f>
        <v>0</v>
      </c>
      <c r="B136" s="378"/>
      <c r="C136" s="174"/>
      <c r="D136" s="380"/>
      <c r="E136" s="381"/>
      <c r="F136" s="175"/>
      <c r="G136" s="309">
        <f t="shared" si="25"/>
        <v>0</v>
      </c>
      <c r="H136" s="382">
        <f t="shared" si="26"/>
        <v>0</v>
      </c>
      <c r="I136" s="382">
        <f t="shared" si="22"/>
        <v>0</v>
      </c>
      <c r="J136" s="160">
        <f>ROUND(F136*(1+'Información general'!$F$10),0)</f>
        <v>0</v>
      </c>
      <c r="K136" s="160">
        <f t="shared" si="27"/>
        <v>0</v>
      </c>
      <c r="L136" s="177">
        <f t="shared" si="23"/>
        <v>0</v>
      </c>
      <c r="M136" s="382">
        <f t="shared" si="24"/>
        <v>0</v>
      </c>
      <c r="N136" s="161">
        <f t="shared" si="28"/>
        <v>0</v>
      </c>
      <c r="O136" s="75"/>
      <c r="P136" s="54">
        <f t="shared" si="29"/>
        <v>0</v>
      </c>
    </row>
    <row r="137" spans="1:16" ht="14.25" hidden="1">
      <c r="A137" s="54">
        <f>IF(J137=0,0,IF(J137&lt;'Información general'!$F$13*2,H137,0))</f>
        <v>0</v>
      </c>
      <c r="B137" s="378"/>
      <c r="C137" s="174"/>
      <c r="D137" s="380"/>
      <c r="E137" s="381"/>
      <c r="F137" s="175"/>
      <c r="G137" s="309">
        <f t="shared" si="25"/>
        <v>0</v>
      </c>
      <c r="H137" s="382">
        <f t="shared" si="26"/>
        <v>0</v>
      </c>
      <c r="I137" s="382">
        <f t="shared" si="22"/>
        <v>0</v>
      </c>
      <c r="J137" s="160">
        <f>ROUND(F137*(1+'Información general'!$F$10),0)</f>
        <v>0</v>
      </c>
      <c r="K137" s="160">
        <f t="shared" si="27"/>
        <v>0</v>
      </c>
      <c r="L137" s="177">
        <f t="shared" si="23"/>
        <v>0</v>
      </c>
      <c r="M137" s="382">
        <f t="shared" si="24"/>
        <v>0</v>
      </c>
      <c r="N137" s="161">
        <f t="shared" si="28"/>
        <v>0</v>
      </c>
      <c r="O137" s="75"/>
      <c r="P137" s="54">
        <f t="shared" si="29"/>
        <v>0</v>
      </c>
    </row>
    <row r="138" spans="1:16" ht="14.25" hidden="1">
      <c r="A138" s="54">
        <f>IF(J138=0,0,IF(J138&lt;'Información general'!$F$13*2,H138,0))</f>
        <v>0</v>
      </c>
      <c r="B138" s="378"/>
      <c r="C138" s="174"/>
      <c r="D138" s="380"/>
      <c r="E138" s="381"/>
      <c r="F138" s="175"/>
      <c r="G138" s="309">
        <f t="shared" si="25"/>
        <v>0</v>
      </c>
      <c r="H138" s="382">
        <f t="shared" si="26"/>
        <v>0</v>
      </c>
      <c r="I138" s="382">
        <f t="shared" si="22"/>
        <v>0</v>
      </c>
      <c r="J138" s="160">
        <f>ROUND(F138*(1+'Información general'!$F$10),0)</f>
        <v>0</v>
      </c>
      <c r="K138" s="160">
        <f t="shared" si="27"/>
        <v>0</v>
      </c>
      <c r="L138" s="177">
        <f t="shared" si="23"/>
        <v>0</v>
      </c>
      <c r="M138" s="382">
        <f t="shared" si="24"/>
        <v>0</v>
      </c>
      <c r="N138" s="161">
        <f t="shared" si="28"/>
        <v>0</v>
      </c>
      <c r="O138" s="75"/>
      <c r="P138" s="54">
        <f t="shared" si="29"/>
        <v>0</v>
      </c>
    </row>
    <row r="139" spans="1:16" ht="14.25" hidden="1">
      <c r="A139" s="54">
        <f>IF(J139=0,0,IF(J139&lt;'Información general'!$F$13*2,H139,0))</f>
        <v>0</v>
      </c>
      <c r="B139" s="378"/>
      <c r="C139" s="174"/>
      <c r="D139" s="380"/>
      <c r="E139" s="381"/>
      <c r="F139" s="175"/>
      <c r="G139" s="309">
        <f t="shared" si="25"/>
        <v>0</v>
      </c>
      <c r="H139" s="382">
        <f t="shared" si="26"/>
        <v>0</v>
      </c>
      <c r="I139" s="382">
        <f t="shared" si="22"/>
        <v>0</v>
      </c>
      <c r="J139" s="160">
        <f>ROUND(F139*(1+'Información general'!$F$10),0)</f>
        <v>0</v>
      </c>
      <c r="K139" s="160">
        <f t="shared" si="27"/>
        <v>0</v>
      </c>
      <c r="L139" s="177">
        <f t="shared" si="23"/>
        <v>0</v>
      </c>
      <c r="M139" s="382">
        <f t="shared" si="24"/>
        <v>0</v>
      </c>
      <c r="N139" s="161">
        <f t="shared" si="28"/>
        <v>0</v>
      </c>
      <c r="O139" s="75"/>
      <c r="P139" s="54">
        <f t="shared" si="29"/>
        <v>0</v>
      </c>
    </row>
    <row r="140" spans="1:16" ht="14.25" hidden="1">
      <c r="A140" s="54">
        <f>IF(J140=0,0,IF(J140&lt;'Información general'!$F$13*2,H140,0))</f>
        <v>0</v>
      </c>
      <c r="B140" s="378"/>
      <c r="C140" s="174"/>
      <c r="D140" s="380"/>
      <c r="E140" s="381"/>
      <c r="F140" s="175"/>
      <c r="G140" s="309">
        <f t="shared" si="25"/>
        <v>0</v>
      </c>
      <c r="H140" s="382">
        <f t="shared" si="26"/>
        <v>0</v>
      </c>
      <c r="I140" s="382">
        <f t="shared" si="22"/>
        <v>0</v>
      </c>
      <c r="J140" s="160">
        <f>ROUND(F140*(1+'Información general'!$F$10),0)</f>
        <v>0</v>
      </c>
      <c r="K140" s="160">
        <f t="shared" si="27"/>
        <v>0</v>
      </c>
      <c r="L140" s="177">
        <f t="shared" si="23"/>
        <v>0</v>
      </c>
      <c r="M140" s="382">
        <f t="shared" si="24"/>
        <v>0</v>
      </c>
      <c r="N140" s="161">
        <f t="shared" si="28"/>
        <v>0</v>
      </c>
      <c r="O140" s="75"/>
      <c r="P140" s="54">
        <f t="shared" si="29"/>
        <v>0</v>
      </c>
    </row>
    <row r="141" spans="1:16" ht="14.25" hidden="1">
      <c r="A141" s="54">
        <f>IF(J141=0,0,IF(J141&lt;'Información general'!$F$13*2,H141,0))</f>
        <v>0</v>
      </c>
      <c r="B141" s="378"/>
      <c r="C141" s="174"/>
      <c r="D141" s="380"/>
      <c r="E141" s="381"/>
      <c r="F141" s="175"/>
      <c r="G141" s="309">
        <f t="shared" si="25"/>
        <v>0</v>
      </c>
      <c r="H141" s="382">
        <f t="shared" si="26"/>
        <v>0</v>
      </c>
      <c r="I141" s="382">
        <f t="shared" si="22"/>
        <v>0</v>
      </c>
      <c r="J141" s="160">
        <f>ROUND(F141*(1+'Información general'!$F$10),0)</f>
        <v>0</v>
      </c>
      <c r="K141" s="160">
        <f t="shared" si="27"/>
        <v>0</v>
      </c>
      <c r="L141" s="177">
        <f t="shared" si="23"/>
        <v>0</v>
      </c>
      <c r="M141" s="382">
        <f t="shared" si="24"/>
        <v>0</v>
      </c>
      <c r="N141" s="161">
        <f t="shared" si="28"/>
        <v>0</v>
      </c>
      <c r="O141" s="75"/>
      <c r="P141" s="54">
        <f t="shared" si="29"/>
        <v>0</v>
      </c>
    </row>
    <row r="142" spans="1:16" ht="14.25" hidden="1">
      <c r="A142" s="54">
        <f>IF(J142=0,0,IF(J142&lt;'Información general'!$F$13*2,H142,0))</f>
        <v>0</v>
      </c>
      <c r="B142" s="378"/>
      <c r="C142" s="174"/>
      <c r="D142" s="380"/>
      <c r="E142" s="381"/>
      <c r="F142" s="175"/>
      <c r="G142" s="309">
        <f t="shared" si="25"/>
        <v>0</v>
      </c>
      <c r="H142" s="382">
        <f t="shared" si="26"/>
        <v>0</v>
      </c>
      <c r="I142" s="382">
        <f t="shared" si="22"/>
        <v>0</v>
      </c>
      <c r="J142" s="160">
        <f>ROUND(F142*(1+'Información general'!$F$10),0)</f>
        <v>0</v>
      </c>
      <c r="K142" s="160">
        <f t="shared" si="27"/>
        <v>0</v>
      </c>
      <c r="L142" s="177">
        <f t="shared" si="23"/>
        <v>0</v>
      </c>
      <c r="M142" s="382">
        <f t="shared" si="24"/>
        <v>0</v>
      </c>
      <c r="N142" s="161">
        <f t="shared" si="28"/>
        <v>0</v>
      </c>
      <c r="O142" s="75"/>
      <c r="P142" s="54">
        <f t="shared" si="29"/>
        <v>0</v>
      </c>
    </row>
    <row r="143" spans="1:16" ht="14.25" hidden="1">
      <c r="A143" s="54">
        <f>IF(J143=0,0,IF(J143&lt;'Información general'!$F$13*2,H143,0))</f>
        <v>0</v>
      </c>
      <c r="B143" s="378"/>
      <c r="C143" s="174"/>
      <c r="D143" s="380"/>
      <c r="E143" s="381"/>
      <c r="F143" s="175"/>
      <c r="G143" s="309">
        <f t="shared" si="25"/>
        <v>0</v>
      </c>
      <c r="H143" s="382">
        <f t="shared" si="26"/>
        <v>0</v>
      </c>
      <c r="I143" s="382">
        <f t="shared" si="22"/>
        <v>0</v>
      </c>
      <c r="J143" s="160">
        <f>ROUND(F143*(1+'Información general'!$F$10),0)</f>
        <v>0</v>
      </c>
      <c r="K143" s="160">
        <f t="shared" si="27"/>
        <v>0</v>
      </c>
      <c r="L143" s="177">
        <f t="shared" si="23"/>
        <v>0</v>
      </c>
      <c r="M143" s="382">
        <f t="shared" si="24"/>
        <v>0</v>
      </c>
      <c r="N143" s="161">
        <f t="shared" si="28"/>
        <v>0</v>
      </c>
      <c r="O143" s="75"/>
      <c r="P143" s="54">
        <f t="shared" si="29"/>
        <v>0</v>
      </c>
    </row>
    <row r="144" spans="1:16" ht="14.25" hidden="1">
      <c r="A144" s="54">
        <f>IF(J144=0,0,IF(J144&lt;'Información general'!$F$13*2,H144,0))</f>
        <v>0</v>
      </c>
      <c r="B144" s="378"/>
      <c r="C144" s="174"/>
      <c r="D144" s="380"/>
      <c r="E144" s="381"/>
      <c r="F144" s="175"/>
      <c r="G144" s="309">
        <f t="shared" si="25"/>
        <v>0</v>
      </c>
      <c r="H144" s="382">
        <f t="shared" si="26"/>
        <v>0</v>
      </c>
      <c r="I144" s="382">
        <f t="shared" si="22"/>
        <v>0</v>
      </c>
      <c r="J144" s="160">
        <f>ROUND(F144*(1+'Información general'!$F$10),0)</f>
        <v>0</v>
      </c>
      <c r="K144" s="160">
        <f t="shared" si="27"/>
        <v>0</v>
      </c>
      <c r="L144" s="177">
        <f t="shared" si="23"/>
        <v>0</v>
      </c>
      <c r="M144" s="382">
        <f t="shared" si="24"/>
        <v>0</v>
      </c>
      <c r="N144" s="161">
        <f t="shared" si="28"/>
        <v>0</v>
      </c>
      <c r="O144" s="75"/>
      <c r="P144" s="54">
        <f t="shared" si="29"/>
        <v>0</v>
      </c>
    </row>
    <row r="145" spans="1:16" ht="14.25" hidden="1">
      <c r="A145" s="54">
        <f>IF(J145=0,0,IF(J145&lt;'Información general'!$F$13*2,H145,0))</f>
        <v>0</v>
      </c>
      <c r="B145" s="378"/>
      <c r="C145" s="174"/>
      <c r="D145" s="380"/>
      <c r="E145" s="381"/>
      <c r="F145" s="175"/>
      <c r="G145" s="309">
        <f t="shared" si="25"/>
        <v>0</v>
      </c>
      <c r="H145" s="382">
        <f t="shared" si="26"/>
        <v>0</v>
      </c>
      <c r="I145" s="382">
        <f t="shared" si="22"/>
        <v>0</v>
      </c>
      <c r="J145" s="160">
        <f>ROUND(F145*(1+'Información general'!$F$10),0)</f>
        <v>0</v>
      </c>
      <c r="K145" s="160">
        <f t="shared" si="27"/>
        <v>0</v>
      </c>
      <c r="L145" s="177">
        <f t="shared" si="23"/>
        <v>0</v>
      </c>
      <c r="M145" s="382">
        <f t="shared" si="24"/>
        <v>0</v>
      </c>
      <c r="N145" s="161">
        <f t="shared" si="28"/>
        <v>0</v>
      </c>
      <c r="O145" s="75"/>
      <c r="P145" s="54">
        <f t="shared" si="29"/>
        <v>0</v>
      </c>
    </row>
    <row r="146" spans="1:16" ht="14.25" hidden="1">
      <c r="A146" s="54">
        <f>IF(J146=0,0,IF(J146&lt;'Información general'!$F$13*2,H146,0))</f>
        <v>0</v>
      </c>
      <c r="B146" s="378"/>
      <c r="C146" s="174"/>
      <c r="D146" s="380"/>
      <c r="E146" s="381"/>
      <c r="F146" s="175"/>
      <c r="G146" s="309">
        <f t="shared" si="25"/>
        <v>0</v>
      </c>
      <c r="H146" s="382">
        <f t="shared" si="26"/>
        <v>0</v>
      </c>
      <c r="I146" s="382">
        <f t="shared" si="22"/>
        <v>0</v>
      </c>
      <c r="J146" s="160">
        <f>ROUND(F146*(1+'Información general'!$F$10),0)</f>
        <v>0</v>
      </c>
      <c r="K146" s="160">
        <f t="shared" si="27"/>
        <v>0</v>
      </c>
      <c r="L146" s="177">
        <f t="shared" si="23"/>
        <v>0</v>
      </c>
      <c r="M146" s="382">
        <f t="shared" si="24"/>
        <v>0</v>
      </c>
      <c r="N146" s="161">
        <f t="shared" si="28"/>
        <v>0</v>
      </c>
      <c r="O146" s="75"/>
      <c r="P146" s="54">
        <f t="shared" si="29"/>
        <v>0</v>
      </c>
    </row>
    <row r="147" spans="1:16" ht="14.25" hidden="1">
      <c r="A147" s="54">
        <f>IF(J147=0,0,IF(J147&lt;'Información general'!$F$13*2,H147,0))</f>
        <v>0</v>
      </c>
      <c r="B147" s="378"/>
      <c r="C147" s="174"/>
      <c r="D147" s="380"/>
      <c r="E147" s="381"/>
      <c r="F147" s="175"/>
      <c r="G147" s="309">
        <f t="shared" si="25"/>
        <v>0</v>
      </c>
      <c r="H147" s="382">
        <f t="shared" si="26"/>
        <v>0</v>
      </c>
      <c r="I147" s="382">
        <f t="shared" si="22"/>
        <v>0</v>
      </c>
      <c r="J147" s="160">
        <f>ROUND(F147*(1+'Información general'!$F$10),0)</f>
        <v>0</v>
      </c>
      <c r="K147" s="160">
        <f t="shared" si="27"/>
        <v>0</v>
      </c>
      <c r="L147" s="177">
        <f t="shared" si="23"/>
        <v>0</v>
      </c>
      <c r="M147" s="382">
        <f t="shared" si="24"/>
        <v>0</v>
      </c>
      <c r="N147" s="161">
        <f t="shared" si="28"/>
        <v>0</v>
      </c>
      <c r="O147" s="75"/>
      <c r="P147" s="54">
        <f t="shared" si="29"/>
        <v>0</v>
      </c>
    </row>
    <row r="148" spans="1:16" ht="14.25" hidden="1">
      <c r="A148" s="54">
        <f>IF(J148=0,0,IF(J148&lt;'Información general'!$F$13*2,H148,0))</f>
        <v>0</v>
      </c>
      <c r="B148" s="378"/>
      <c r="C148" s="174"/>
      <c r="D148" s="380"/>
      <c r="E148" s="381"/>
      <c r="F148" s="175"/>
      <c r="G148" s="309">
        <f t="shared" si="25"/>
        <v>0</v>
      </c>
      <c r="H148" s="382">
        <f t="shared" si="26"/>
        <v>0</v>
      </c>
      <c r="I148" s="382">
        <f t="shared" si="22"/>
        <v>0</v>
      </c>
      <c r="J148" s="160">
        <f>ROUND(F148*(1+'Información general'!$F$10),0)</f>
        <v>0</v>
      </c>
      <c r="K148" s="160">
        <f t="shared" si="27"/>
        <v>0</v>
      </c>
      <c r="L148" s="177">
        <f t="shared" si="23"/>
        <v>0</v>
      </c>
      <c r="M148" s="382">
        <f t="shared" si="24"/>
        <v>0</v>
      </c>
      <c r="N148" s="161">
        <f t="shared" si="28"/>
        <v>0</v>
      </c>
      <c r="O148" s="75"/>
      <c r="P148" s="54">
        <f t="shared" si="29"/>
        <v>0</v>
      </c>
    </row>
    <row r="149" spans="1:16" ht="14.25" hidden="1">
      <c r="A149" s="54">
        <f>IF(J149=0,0,IF(J149&lt;'Información general'!$F$13*2,H149,0))</f>
        <v>0</v>
      </c>
      <c r="B149" s="378"/>
      <c r="C149" s="174"/>
      <c r="D149" s="380"/>
      <c r="E149" s="381"/>
      <c r="F149" s="175"/>
      <c r="G149" s="309">
        <f t="shared" si="25"/>
        <v>0</v>
      </c>
      <c r="H149" s="382">
        <f t="shared" si="26"/>
        <v>0</v>
      </c>
      <c r="I149" s="382">
        <f t="shared" si="22"/>
        <v>0</v>
      </c>
      <c r="J149" s="160">
        <f>ROUND(F149*(1+'Información general'!$F$10),0)</f>
        <v>0</v>
      </c>
      <c r="K149" s="160">
        <f t="shared" si="27"/>
        <v>0</v>
      </c>
      <c r="L149" s="177">
        <f t="shared" si="23"/>
        <v>0</v>
      </c>
      <c r="M149" s="382">
        <f t="shared" si="24"/>
        <v>0</v>
      </c>
      <c r="N149" s="161">
        <f t="shared" si="28"/>
        <v>0</v>
      </c>
      <c r="O149" s="75"/>
      <c r="P149" s="54">
        <f t="shared" si="29"/>
        <v>0</v>
      </c>
    </row>
    <row r="150" spans="1:16" ht="14.25" hidden="1">
      <c r="A150" s="54">
        <f>IF(J150=0,0,IF(J150&lt;'Información general'!$F$13*2,H150,0))</f>
        <v>0</v>
      </c>
      <c r="B150" s="378"/>
      <c r="C150" s="174"/>
      <c r="D150" s="380"/>
      <c r="E150" s="381"/>
      <c r="F150" s="175"/>
      <c r="G150" s="309">
        <f t="shared" si="25"/>
        <v>0</v>
      </c>
      <c r="H150" s="382">
        <f t="shared" si="26"/>
        <v>0</v>
      </c>
      <c r="I150" s="382">
        <f t="shared" si="22"/>
        <v>0</v>
      </c>
      <c r="J150" s="160">
        <f>ROUND(F150*(1+'Información general'!$F$10),0)</f>
        <v>0</v>
      </c>
      <c r="K150" s="160">
        <f t="shared" si="27"/>
        <v>0</v>
      </c>
      <c r="L150" s="177">
        <f t="shared" si="23"/>
        <v>0</v>
      </c>
      <c r="M150" s="382">
        <f t="shared" si="24"/>
        <v>0</v>
      </c>
      <c r="N150" s="161">
        <f t="shared" si="28"/>
        <v>0</v>
      </c>
      <c r="O150" s="75"/>
      <c r="P150" s="54">
        <f t="shared" si="29"/>
        <v>0</v>
      </c>
    </row>
    <row r="151" spans="1:16" ht="14.25" hidden="1">
      <c r="A151" s="54">
        <f>IF(J151=0,0,IF(J151&lt;'Información general'!$F$13*2,H151,0))</f>
        <v>0</v>
      </c>
      <c r="B151" s="378"/>
      <c r="C151" s="174"/>
      <c r="D151" s="380"/>
      <c r="E151" s="381"/>
      <c r="F151" s="175"/>
      <c r="G151" s="309">
        <f t="shared" si="25"/>
        <v>0</v>
      </c>
      <c r="H151" s="382">
        <f t="shared" si="26"/>
        <v>0</v>
      </c>
      <c r="I151" s="382">
        <f t="shared" si="22"/>
        <v>0</v>
      </c>
      <c r="J151" s="160">
        <f>ROUND(F151*(1+'Información general'!$F$10),0)</f>
        <v>0</v>
      </c>
      <c r="K151" s="160">
        <f t="shared" si="27"/>
        <v>0</v>
      </c>
      <c r="L151" s="177">
        <f t="shared" si="23"/>
        <v>0</v>
      </c>
      <c r="M151" s="382">
        <f t="shared" si="24"/>
        <v>0</v>
      </c>
      <c r="N151" s="161">
        <f t="shared" si="28"/>
        <v>0</v>
      </c>
      <c r="O151" s="75"/>
      <c r="P151" s="54">
        <f t="shared" si="29"/>
        <v>0</v>
      </c>
    </row>
    <row r="152" spans="1:16" ht="14.25" hidden="1">
      <c r="A152" s="54">
        <f>IF(J152=0,0,IF(J152&lt;'Información general'!$F$13*2,H152,0))</f>
        <v>0</v>
      </c>
      <c r="B152" s="378"/>
      <c r="C152" s="174"/>
      <c r="D152" s="380"/>
      <c r="E152" s="381"/>
      <c r="F152" s="175"/>
      <c r="G152" s="309">
        <f t="shared" si="25"/>
        <v>0</v>
      </c>
      <c r="H152" s="382">
        <f t="shared" si="26"/>
        <v>0</v>
      </c>
      <c r="I152" s="382">
        <f t="shared" si="22"/>
        <v>0</v>
      </c>
      <c r="J152" s="160">
        <f>ROUND(F152*(1+'Información general'!$F$10),0)</f>
        <v>0</v>
      </c>
      <c r="K152" s="160">
        <f t="shared" si="27"/>
        <v>0</v>
      </c>
      <c r="L152" s="177">
        <f t="shared" si="23"/>
        <v>0</v>
      </c>
      <c r="M152" s="382">
        <f t="shared" si="24"/>
        <v>0</v>
      </c>
      <c r="N152" s="161">
        <f t="shared" si="28"/>
        <v>0</v>
      </c>
      <c r="O152" s="75"/>
      <c r="P152" s="54">
        <f t="shared" si="29"/>
        <v>0</v>
      </c>
    </row>
    <row r="153" spans="1:16" ht="14.25" hidden="1">
      <c r="A153" s="54">
        <f>IF(J153=0,0,IF(J153&lt;'Información general'!$F$13*2,H153,0))</f>
        <v>0</v>
      </c>
      <c r="B153" s="378"/>
      <c r="C153" s="174"/>
      <c r="D153" s="380"/>
      <c r="E153" s="381"/>
      <c r="F153" s="175"/>
      <c r="G153" s="309">
        <f t="shared" si="25"/>
        <v>0</v>
      </c>
      <c r="H153" s="382">
        <f t="shared" si="26"/>
        <v>0</v>
      </c>
      <c r="I153" s="382">
        <f t="shared" si="22"/>
        <v>0</v>
      </c>
      <c r="J153" s="160">
        <f>ROUND(F153*(1+'Información general'!$F$10),0)</f>
        <v>0</v>
      </c>
      <c r="K153" s="160">
        <f t="shared" si="27"/>
        <v>0</v>
      </c>
      <c r="L153" s="177">
        <f t="shared" si="23"/>
        <v>0</v>
      </c>
      <c r="M153" s="382">
        <f t="shared" si="24"/>
        <v>0</v>
      </c>
      <c r="N153" s="161">
        <f t="shared" si="28"/>
        <v>0</v>
      </c>
      <c r="O153" s="75"/>
      <c r="P153" s="54">
        <f t="shared" si="29"/>
        <v>0</v>
      </c>
    </row>
    <row r="154" spans="1:16" ht="14.25" hidden="1">
      <c r="A154" s="54">
        <f>IF(J154=0,0,IF(J154&lt;'Información general'!$F$13*2,H154,0))</f>
        <v>0</v>
      </c>
      <c r="B154" s="378"/>
      <c r="C154" s="174"/>
      <c r="D154" s="380"/>
      <c r="E154" s="381"/>
      <c r="F154" s="175"/>
      <c r="G154" s="309">
        <f t="shared" si="25"/>
        <v>0</v>
      </c>
      <c r="H154" s="382">
        <f t="shared" si="26"/>
        <v>0</v>
      </c>
      <c r="I154" s="382">
        <f t="shared" si="22"/>
        <v>0</v>
      </c>
      <c r="J154" s="160">
        <f>ROUND(F154*(1+'Información general'!$F$10),0)</f>
        <v>0</v>
      </c>
      <c r="K154" s="160">
        <f t="shared" si="27"/>
        <v>0</v>
      </c>
      <c r="L154" s="177">
        <f t="shared" si="23"/>
        <v>0</v>
      </c>
      <c r="M154" s="382">
        <f t="shared" si="24"/>
        <v>0</v>
      </c>
      <c r="N154" s="161">
        <f t="shared" si="28"/>
        <v>0</v>
      </c>
      <c r="O154" s="75"/>
      <c r="P154" s="54">
        <f t="shared" si="29"/>
        <v>0</v>
      </c>
    </row>
    <row r="155" spans="1:16" ht="14.25" hidden="1">
      <c r="A155" s="54">
        <f>IF(J155=0,0,IF(J155&lt;'Información general'!$F$13*2,H155,0))</f>
        <v>0</v>
      </c>
      <c r="B155" s="378"/>
      <c r="C155" s="174"/>
      <c r="D155" s="380"/>
      <c r="E155" s="381"/>
      <c r="F155" s="175"/>
      <c r="G155" s="309">
        <f t="shared" si="25"/>
        <v>0</v>
      </c>
      <c r="H155" s="382">
        <f t="shared" si="26"/>
        <v>0</v>
      </c>
      <c r="I155" s="382">
        <f t="shared" si="22"/>
        <v>0</v>
      </c>
      <c r="J155" s="160">
        <f>ROUND(F155*(1+'Información general'!$F$10),0)</f>
        <v>0</v>
      </c>
      <c r="K155" s="160">
        <f t="shared" si="27"/>
        <v>0</v>
      </c>
      <c r="L155" s="177">
        <f t="shared" si="23"/>
        <v>0</v>
      </c>
      <c r="M155" s="382">
        <f t="shared" si="24"/>
        <v>0</v>
      </c>
      <c r="N155" s="161">
        <f t="shared" si="28"/>
        <v>0</v>
      </c>
      <c r="O155" s="75"/>
      <c r="P155" s="54">
        <f t="shared" si="29"/>
        <v>0</v>
      </c>
    </row>
    <row r="156" spans="1:16" ht="14.25" hidden="1">
      <c r="A156" s="54">
        <f>IF(J156=0,0,IF(J156&lt;'Información general'!$F$13*2,H156,0))</f>
        <v>0</v>
      </c>
      <c r="B156" s="378"/>
      <c r="C156" s="174"/>
      <c r="D156" s="380"/>
      <c r="E156" s="381"/>
      <c r="F156" s="175"/>
      <c r="G156" s="309">
        <f t="shared" si="25"/>
        <v>0</v>
      </c>
      <c r="H156" s="382">
        <f t="shared" si="26"/>
        <v>0</v>
      </c>
      <c r="I156" s="382">
        <f t="shared" si="22"/>
        <v>0</v>
      </c>
      <c r="J156" s="160">
        <f>ROUND(F156*(1+'Información general'!$F$10),0)</f>
        <v>0</v>
      </c>
      <c r="K156" s="160">
        <f t="shared" si="27"/>
        <v>0</v>
      </c>
      <c r="L156" s="177">
        <f t="shared" si="23"/>
        <v>0</v>
      </c>
      <c r="M156" s="382">
        <f t="shared" si="24"/>
        <v>0</v>
      </c>
      <c r="N156" s="161">
        <f t="shared" si="28"/>
        <v>0</v>
      </c>
      <c r="O156" s="75"/>
      <c r="P156" s="54">
        <f t="shared" si="29"/>
        <v>0</v>
      </c>
    </row>
    <row r="157" spans="1:16" ht="14.25" hidden="1">
      <c r="A157" s="54">
        <f>IF(J157=0,0,IF(J157&lt;'Información general'!$F$13*2,H157,0))</f>
        <v>0</v>
      </c>
      <c r="B157" s="378"/>
      <c r="C157" s="174"/>
      <c r="D157" s="380"/>
      <c r="E157" s="381"/>
      <c r="F157" s="175"/>
      <c r="G157" s="309">
        <f t="shared" si="25"/>
        <v>0</v>
      </c>
      <c r="H157" s="382">
        <f t="shared" si="26"/>
        <v>0</v>
      </c>
      <c r="I157" s="382">
        <f t="shared" si="22"/>
        <v>0</v>
      </c>
      <c r="J157" s="160">
        <f>ROUND(F157*(1+'Información general'!$F$10),0)</f>
        <v>0</v>
      </c>
      <c r="K157" s="160">
        <f t="shared" si="27"/>
        <v>0</v>
      </c>
      <c r="L157" s="177">
        <f t="shared" si="23"/>
        <v>0</v>
      </c>
      <c r="M157" s="382">
        <f t="shared" si="24"/>
        <v>0</v>
      </c>
      <c r="N157" s="161">
        <f t="shared" si="28"/>
        <v>0</v>
      </c>
      <c r="O157" s="75"/>
      <c r="P157" s="54">
        <f t="shared" si="29"/>
        <v>0</v>
      </c>
    </row>
    <row r="158" spans="1:16" ht="14.25" hidden="1">
      <c r="A158" s="54">
        <f>IF(J158=0,0,IF(J158&lt;'Información general'!$F$13*2,H158,0))</f>
        <v>0</v>
      </c>
      <c r="B158" s="378"/>
      <c r="C158" s="174"/>
      <c r="D158" s="380"/>
      <c r="E158" s="381"/>
      <c r="F158" s="175"/>
      <c r="G158" s="309">
        <f t="shared" si="25"/>
        <v>0</v>
      </c>
      <c r="H158" s="382">
        <f t="shared" si="26"/>
        <v>0</v>
      </c>
      <c r="I158" s="382">
        <f t="shared" si="22"/>
        <v>0</v>
      </c>
      <c r="J158" s="160">
        <f>ROUND(F158*(1+'Información general'!$F$10),0)</f>
        <v>0</v>
      </c>
      <c r="K158" s="160">
        <f t="shared" si="27"/>
        <v>0</v>
      </c>
      <c r="L158" s="177">
        <f t="shared" si="23"/>
        <v>0</v>
      </c>
      <c r="M158" s="382">
        <f t="shared" si="24"/>
        <v>0</v>
      </c>
      <c r="N158" s="161">
        <f t="shared" si="28"/>
        <v>0</v>
      </c>
      <c r="O158" s="75"/>
      <c r="P158" s="54">
        <f t="shared" si="29"/>
        <v>0</v>
      </c>
    </row>
    <row r="159" spans="1:16" ht="14.25" hidden="1">
      <c r="A159" s="54">
        <f>IF(J159=0,0,IF(J159&lt;'Información general'!$F$13*2,H159,0))</f>
        <v>0</v>
      </c>
      <c r="B159" s="378"/>
      <c r="C159" s="174"/>
      <c r="D159" s="380"/>
      <c r="E159" s="381"/>
      <c r="F159" s="175"/>
      <c r="G159" s="309">
        <f t="shared" si="25"/>
        <v>0</v>
      </c>
      <c r="H159" s="382">
        <f t="shared" si="26"/>
        <v>0</v>
      </c>
      <c r="I159" s="382">
        <f t="shared" si="22"/>
        <v>0</v>
      </c>
      <c r="J159" s="160">
        <f>ROUND(F159*(1+'Información general'!$F$10),0)</f>
        <v>0</v>
      </c>
      <c r="K159" s="160">
        <f t="shared" si="27"/>
        <v>0</v>
      </c>
      <c r="L159" s="177">
        <f t="shared" si="23"/>
        <v>0</v>
      </c>
      <c r="M159" s="382">
        <f t="shared" si="24"/>
        <v>0</v>
      </c>
      <c r="N159" s="161">
        <f t="shared" si="28"/>
        <v>0</v>
      </c>
      <c r="O159" s="75"/>
      <c r="P159" s="54">
        <f t="shared" si="29"/>
        <v>0</v>
      </c>
    </row>
    <row r="160" spans="1:16" ht="14.25" hidden="1">
      <c r="A160" s="54">
        <f>IF(J160=0,0,IF(J160&lt;'Información general'!$F$13*2,H160,0))</f>
        <v>0</v>
      </c>
      <c r="B160" s="378"/>
      <c r="C160" s="174"/>
      <c r="D160" s="380"/>
      <c r="E160" s="381"/>
      <c r="F160" s="175"/>
      <c r="G160" s="309">
        <f t="shared" si="25"/>
        <v>0</v>
      </c>
      <c r="H160" s="382">
        <f t="shared" si="26"/>
        <v>0</v>
      </c>
      <c r="I160" s="382">
        <f t="shared" si="22"/>
        <v>0</v>
      </c>
      <c r="J160" s="160">
        <f>ROUND(F160*(1+'Información general'!$F$10),0)</f>
        <v>0</v>
      </c>
      <c r="K160" s="160">
        <f t="shared" si="27"/>
        <v>0</v>
      </c>
      <c r="L160" s="177">
        <f t="shared" si="23"/>
        <v>0</v>
      </c>
      <c r="M160" s="382">
        <f t="shared" si="24"/>
        <v>0</v>
      </c>
      <c r="N160" s="161">
        <f t="shared" si="28"/>
        <v>0</v>
      </c>
      <c r="O160" s="75"/>
      <c r="P160" s="54">
        <f t="shared" si="29"/>
        <v>0</v>
      </c>
    </row>
    <row r="161" spans="1:16" ht="14.25" hidden="1">
      <c r="A161" s="54">
        <f>IF(J161=0,0,IF(J161&lt;'Información general'!$F$13*2,H161,0))</f>
        <v>0</v>
      </c>
      <c r="B161" s="378"/>
      <c r="C161" s="174"/>
      <c r="D161" s="380"/>
      <c r="E161" s="381"/>
      <c r="F161" s="175"/>
      <c r="G161" s="309">
        <f t="shared" si="25"/>
        <v>0</v>
      </c>
      <c r="H161" s="382">
        <f t="shared" si="26"/>
        <v>0</v>
      </c>
      <c r="I161" s="382">
        <f t="shared" si="22"/>
        <v>0</v>
      </c>
      <c r="J161" s="160">
        <f>ROUND(F161*(1+'Información general'!$F$10),0)</f>
        <v>0</v>
      </c>
      <c r="K161" s="160">
        <f t="shared" si="27"/>
        <v>0</v>
      </c>
      <c r="L161" s="177">
        <f t="shared" si="23"/>
        <v>0</v>
      </c>
      <c r="M161" s="382">
        <f t="shared" si="24"/>
        <v>0</v>
      </c>
      <c r="N161" s="161">
        <f t="shared" si="28"/>
        <v>0</v>
      </c>
      <c r="O161" s="75"/>
      <c r="P161" s="54">
        <f t="shared" si="29"/>
        <v>0</v>
      </c>
    </row>
    <row r="162" spans="1:16" ht="14.25" hidden="1">
      <c r="A162" s="54">
        <f>IF(J162=0,0,IF(J162&lt;'Información general'!$F$13*2,H162,0))</f>
        <v>0</v>
      </c>
      <c r="B162" s="378"/>
      <c r="C162" s="174"/>
      <c r="D162" s="380"/>
      <c r="E162" s="381"/>
      <c r="F162" s="175"/>
      <c r="G162" s="309">
        <f t="shared" si="25"/>
        <v>0</v>
      </c>
      <c r="H162" s="382">
        <f t="shared" si="26"/>
        <v>0</v>
      </c>
      <c r="I162" s="382">
        <f t="shared" si="22"/>
        <v>0</v>
      </c>
      <c r="J162" s="160">
        <f>ROUND(F162*(1+'Información general'!$F$10),0)</f>
        <v>0</v>
      </c>
      <c r="K162" s="160">
        <f t="shared" si="27"/>
        <v>0</v>
      </c>
      <c r="L162" s="177">
        <f t="shared" si="23"/>
        <v>0</v>
      </c>
      <c r="M162" s="382">
        <f t="shared" si="24"/>
        <v>0</v>
      </c>
      <c r="N162" s="161">
        <f t="shared" si="28"/>
        <v>0</v>
      </c>
      <c r="O162" s="75"/>
      <c r="P162" s="54">
        <f t="shared" si="29"/>
        <v>0</v>
      </c>
    </row>
    <row r="163" spans="1:16" ht="14.25" hidden="1">
      <c r="A163" s="54">
        <f>IF(J163=0,0,IF(J163&lt;'Información general'!$F$13*2,H163,0))</f>
        <v>0</v>
      </c>
      <c r="B163" s="378"/>
      <c r="C163" s="174"/>
      <c r="D163" s="380"/>
      <c r="E163" s="381"/>
      <c r="F163" s="175"/>
      <c r="G163" s="309">
        <f t="shared" si="25"/>
        <v>0</v>
      </c>
      <c r="H163" s="382">
        <f t="shared" si="26"/>
        <v>0</v>
      </c>
      <c r="I163" s="382">
        <f t="shared" si="22"/>
        <v>0</v>
      </c>
      <c r="J163" s="160">
        <f>ROUND(F163*(1+'Información general'!$F$10),0)</f>
        <v>0</v>
      </c>
      <c r="K163" s="160">
        <f t="shared" si="27"/>
        <v>0</v>
      </c>
      <c r="L163" s="177">
        <f t="shared" si="23"/>
        <v>0</v>
      </c>
      <c r="M163" s="382">
        <f t="shared" si="24"/>
        <v>0</v>
      </c>
      <c r="N163" s="161">
        <f t="shared" si="28"/>
        <v>0</v>
      </c>
      <c r="O163" s="75"/>
      <c r="P163" s="54">
        <f t="shared" si="29"/>
        <v>0</v>
      </c>
    </row>
    <row r="164" spans="1:16" ht="14.25" hidden="1">
      <c r="A164" s="54">
        <f>IF(J164=0,0,IF(J164&lt;'Información general'!$F$13*2,H164,0))</f>
        <v>0</v>
      </c>
      <c r="B164" s="378"/>
      <c r="C164" s="174"/>
      <c r="D164" s="380"/>
      <c r="E164" s="381"/>
      <c r="F164" s="175"/>
      <c r="G164" s="309">
        <f t="shared" si="25"/>
        <v>0</v>
      </c>
      <c r="H164" s="382">
        <f t="shared" si="26"/>
        <v>0</v>
      </c>
      <c r="I164" s="382">
        <f t="shared" si="22"/>
        <v>0</v>
      </c>
      <c r="J164" s="160">
        <f>ROUND(F164*(1+'Información general'!$F$10),0)</f>
        <v>0</v>
      </c>
      <c r="K164" s="160">
        <f t="shared" si="27"/>
        <v>0</v>
      </c>
      <c r="L164" s="177">
        <f t="shared" si="23"/>
        <v>0</v>
      </c>
      <c r="M164" s="382">
        <f t="shared" si="24"/>
        <v>0</v>
      </c>
      <c r="N164" s="161">
        <f t="shared" si="28"/>
        <v>0</v>
      </c>
      <c r="O164" s="75"/>
      <c r="P164" s="54">
        <f t="shared" si="29"/>
        <v>0</v>
      </c>
    </row>
    <row r="165" spans="1:16" ht="14.25" hidden="1">
      <c r="A165" s="54">
        <f>IF(J165=0,0,IF(J165&lt;'Información general'!$F$13*2,H165,0))</f>
        <v>0</v>
      </c>
      <c r="B165" s="378"/>
      <c r="C165" s="174"/>
      <c r="D165" s="380"/>
      <c r="E165" s="381"/>
      <c r="F165" s="175"/>
      <c r="G165" s="309">
        <f t="shared" si="25"/>
        <v>0</v>
      </c>
      <c r="H165" s="382">
        <f t="shared" si="26"/>
        <v>0</v>
      </c>
      <c r="I165" s="382">
        <f t="shared" si="22"/>
        <v>0</v>
      </c>
      <c r="J165" s="160">
        <f>ROUND(F165*(1+'Información general'!$F$10),0)</f>
        <v>0</v>
      </c>
      <c r="K165" s="160">
        <f t="shared" si="27"/>
        <v>0</v>
      </c>
      <c r="L165" s="177">
        <f t="shared" si="23"/>
        <v>0</v>
      </c>
      <c r="M165" s="382">
        <f t="shared" si="24"/>
        <v>0</v>
      </c>
      <c r="N165" s="161">
        <f t="shared" si="28"/>
        <v>0</v>
      </c>
      <c r="O165" s="75"/>
      <c r="P165" s="54">
        <f t="shared" si="29"/>
        <v>0</v>
      </c>
    </row>
    <row r="166" spans="1:16" ht="14.25" hidden="1">
      <c r="A166" s="54">
        <f>IF(J166=0,0,IF(J166&lt;'Información general'!$F$13*2,H166,0))</f>
        <v>0</v>
      </c>
      <c r="B166" s="378"/>
      <c r="C166" s="174"/>
      <c r="D166" s="380"/>
      <c r="E166" s="381"/>
      <c r="F166" s="175"/>
      <c r="G166" s="309">
        <f t="shared" si="25"/>
        <v>0</v>
      </c>
      <c r="H166" s="382">
        <f t="shared" si="26"/>
        <v>0</v>
      </c>
      <c r="I166" s="382">
        <f t="shared" si="22"/>
        <v>0</v>
      </c>
      <c r="J166" s="160">
        <f>ROUND(F166*(1+'Información general'!$F$10),0)</f>
        <v>0</v>
      </c>
      <c r="K166" s="160">
        <f t="shared" si="27"/>
        <v>0</v>
      </c>
      <c r="L166" s="177">
        <f t="shared" si="23"/>
        <v>0</v>
      </c>
      <c r="M166" s="382">
        <f t="shared" si="24"/>
        <v>0</v>
      </c>
      <c r="N166" s="161">
        <f t="shared" si="28"/>
        <v>0</v>
      </c>
      <c r="O166" s="75"/>
      <c r="P166" s="54">
        <f t="shared" si="29"/>
        <v>0</v>
      </c>
    </row>
    <row r="167" spans="1:16" ht="14.25" hidden="1">
      <c r="A167" s="54">
        <f>IF(J167=0,0,IF(J167&lt;'Información general'!$F$13*2,H167,0))</f>
        <v>0</v>
      </c>
      <c r="B167" s="378"/>
      <c r="C167" s="174"/>
      <c r="D167" s="380"/>
      <c r="E167" s="381"/>
      <c r="F167" s="175"/>
      <c r="G167" s="309">
        <f t="shared" si="25"/>
        <v>0</v>
      </c>
      <c r="H167" s="382">
        <f t="shared" si="26"/>
        <v>0</v>
      </c>
      <c r="I167" s="382">
        <f t="shared" si="22"/>
        <v>0</v>
      </c>
      <c r="J167" s="160">
        <f>ROUND(F167*(1+'Información general'!$F$10),0)</f>
        <v>0</v>
      </c>
      <c r="K167" s="160">
        <f t="shared" si="27"/>
        <v>0</v>
      </c>
      <c r="L167" s="177">
        <f t="shared" si="23"/>
        <v>0</v>
      </c>
      <c r="M167" s="382">
        <f t="shared" si="24"/>
        <v>0</v>
      </c>
      <c r="N167" s="161">
        <f t="shared" si="28"/>
        <v>0</v>
      </c>
      <c r="O167" s="75"/>
      <c r="P167" s="54">
        <f t="shared" si="29"/>
        <v>0</v>
      </c>
    </row>
    <row r="168" spans="1:16" ht="14.25" hidden="1">
      <c r="A168" s="54">
        <f>IF(J168=0,0,IF(J168&lt;'Información general'!$F$13*2,H168,0))</f>
        <v>0</v>
      </c>
      <c r="B168" s="378"/>
      <c r="C168" s="174"/>
      <c r="D168" s="380"/>
      <c r="E168" s="381"/>
      <c r="F168" s="175"/>
      <c r="G168" s="309">
        <f t="shared" si="25"/>
        <v>0</v>
      </c>
      <c r="H168" s="382">
        <f t="shared" si="26"/>
        <v>0</v>
      </c>
      <c r="I168" s="382">
        <f t="shared" si="22"/>
        <v>0</v>
      </c>
      <c r="J168" s="160">
        <f>ROUND(F168*(1+'Información general'!$F$10),0)</f>
        <v>0</v>
      </c>
      <c r="K168" s="160">
        <f t="shared" si="27"/>
        <v>0</v>
      </c>
      <c r="L168" s="177">
        <f t="shared" si="23"/>
        <v>0</v>
      </c>
      <c r="M168" s="382">
        <f t="shared" si="24"/>
        <v>0</v>
      </c>
      <c r="N168" s="161">
        <f t="shared" si="28"/>
        <v>0</v>
      </c>
      <c r="O168" s="75"/>
      <c r="P168" s="54">
        <f t="shared" si="29"/>
        <v>0</v>
      </c>
    </row>
    <row r="169" spans="1:16" ht="14.25" hidden="1">
      <c r="A169" s="54">
        <f>IF(J169=0,0,IF(J169&lt;'Información general'!$F$13*2,H169,0))</f>
        <v>0</v>
      </c>
      <c r="B169" s="378"/>
      <c r="C169" s="174"/>
      <c r="D169" s="380"/>
      <c r="E169" s="381"/>
      <c r="F169" s="175"/>
      <c r="G169" s="309">
        <f t="shared" si="25"/>
        <v>0</v>
      </c>
      <c r="H169" s="382">
        <f t="shared" si="26"/>
        <v>0</v>
      </c>
      <c r="I169" s="382">
        <f t="shared" si="22"/>
        <v>0</v>
      </c>
      <c r="J169" s="160">
        <f>ROUND(F169*(1+'Información general'!$F$10),0)</f>
        <v>0</v>
      </c>
      <c r="K169" s="160">
        <f t="shared" si="27"/>
        <v>0</v>
      </c>
      <c r="L169" s="177">
        <f t="shared" si="23"/>
        <v>0</v>
      </c>
      <c r="M169" s="382">
        <f t="shared" si="24"/>
        <v>0</v>
      </c>
      <c r="N169" s="161">
        <f t="shared" si="28"/>
        <v>0</v>
      </c>
      <c r="O169" s="75"/>
      <c r="P169" s="54">
        <f t="shared" si="29"/>
        <v>0</v>
      </c>
    </row>
    <row r="170" spans="1:16" ht="14.25" hidden="1">
      <c r="A170" s="54">
        <f>IF(J170=0,0,IF(J170&lt;'Información general'!$F$13*2,H170,0))</f>
        <v>0</v>
      </c>
      <c r="B170" s="378"/>
      <c r="C170" s="174"/>
      <c r="D170" s="380"/>
      <c r="E170" s="381"/>
      <c r="F170" s="175"/>
      <c r="G170" s="309">
        <f t="shared" si="25"/>
        <v>0</v>
      </c>
      <c r="H170" s="382">
        <f t="shared" si="26"/>
        <v>0</v>
      </c>
      <c r="I170" s="382">
        <f t="shared" si="22"/>
        <v>0</v>
      </c>
      <c r="J170" s="160">
        <f>ROUND(F170*(1+'Información general'!$F$10),0)</f>
        <v>0</v>
      </c>
      <c r="K170" s="160">
        <f t="shared" si="27"/>
        <v>0</v>
      </c>
      <c r="L170" s="177">
        <f t="shared" si="23"/>
        <v>0</v>
      </c>
      <c r="M170" s="382">
        <f t="shared" si="24"/>
        <v>0</v>
      </c>
      <c r="N170" s="161">
        <f t="shared" si="28"/>
        <v>0</v>
      </c>
      <c r="O170" s="75"/>
      <c r="P170" s="54">
        <f t="shared" si="29"/>
        <v>0</v>
      </c>
    </row>
    <row r="171" spans="1:16" ht="14.25" hidden="1">
      <c r="A171" s="54">
        <f>IF(J171=0,0,IF(J171&lt;'Información general'!$F$13*2,H171,0))</f>
        <v>0</v>
      </c>
      <c r="B171" s="378"/>
      <c r="C171" s="174"/>
      <c r="D171" s="380"/>
      <c r="E171" s="381"/>
      <c r="F171" s="175"/>
      <c r="G171" s="309">
        <f t="shared" si="25"/>
        <v>0</v>
      </c>
      <c r="H171" s="382">
        <f t="shared" si="26"/>
        <v>0</v>
      </c>
      <c r="I171" s="382">
        <f t="shared" si="22"/>
        <v>0</v>
      </c>
      <c r="J171" s="160">
        <f>ROUND(F171*(1+'Información general'!$F$10),0)</f>
        <v>0</v>
      </c>
      <c r="K171" s="160">
        <f t="shared" si="27"/>
        <v>0</v>
      </c>
      <c r="L171" s="177">
        <f t="shared" si="23"/>
        <v>0</v>
      </c>
      <c r="M171" s="382">
        <f t="shared" si="24"/>
        <v>0</v>
      </c>
      <c r="N171" s="161">
        <f t="shared" si="28"/>
        <v>0</v>
      </c>
      <c r="O171" s="75"/>
      <c r="P171" s="54">
        <f t="shared" si="29"/>
        <v>0</v>
      </c>
    </row>
    <row r="172" spans="1:16" ht="14.25" hidden="1">
      <c r="A172" s="54">
        <f>IF(J172=0,0,IF(J172&lt;'Información general'!$F$13*2,H172,0))</f>
        <v>0</v>
      </c>
      <c r="B172" s="378"/>
      <c r="C172" s="174"/>
      <c r="D172" s="380"/>
      <c r="E172" s="381"/>
      <c r="F172" s="175"/>
      <c r="G172" s="309">
        <f t="shared" si="25"/>
        <v>0</v>
      </c>
      <c r="H172" s="382">
        <f t="shared" si="26"/>
        <v>0</v>
      </c>
      <c r="I172" s="382">
        <f t="shared" si="22"/>
        <v>0</v>
      </c>
      <c r="J172" s="160">
        <f>ROUND(F172*(1+'Información general'!$F$10),0)</f>
        <v>0</v>
      </c>
      <c r="K172" s="160">
        <f t="shared" si="27"/>
        <v>0</v>
      </c>
      <c r="L172" s="177">
        <f t="shared" si="23"/>
        <v>0</v>
      </c>
      <c r="M172" s="382">
        <f t="shared" si="24"/>
        <v>0</v>
      </c>
      <c r="N172" s="161">
        <f t="shared" si="28"/>
        <v>0</v>
      </c>
      <c r="O172" s="75"/>
      <c r="P172" s="54">
        <f t="shared" si="29"/>
        <v>0</v>
      </c>
    </row>
    <row r="173" spans="1:16" ht="14.25" hidden="1">
      <c r="A173" s="54">
        <f>IF(J173=0,0,IF(J173&lt;'Información general'!$F$13*2,H173,0))</f>
        <v>0</v>
      </c>
      <c r="B173" s="378"/>
      <c r="C173" s="174"/>
      <c r="D173" s="380"/>
      <c r="E173" s="381"/>
      <c r="F173" s="175"/>
      <c r="G173" s="309">
        <f t="shared" si="25"/>
        <v>0</v>
      </c>
      <c r="H173" s="382">
        <f t="shared" si="26"/>
        <v>0</v>
      </c>
      <c r="I173" s="382">
        <f aca="true" t="shared" si="30" ref="I173:I236">+E173</f>
        <v>0</v>
      </c>
      <c r="J173" s="160">
        <f>ROUND(F173*(1+'Información general'!$F$10),0)</f>
        <v>0</v>
      </c>
      <c r="K173" s="160">
        <f t="shared" si="27"/>
        <v>0</v>
      </c>
      <c r="L173" s="177">
        <f aca="true" t="shared" si="31" ref="L173:L236">IF(H173=0,0,ROUND((IF(G173=0," ",+(J173/F173-1)*100)),3))/100</f>
        <v>0</v>
      </c>
      <c r="M173" s="382">
        <f aca="true" t="shared" si="32" ref="M173:M236">+IF(H173&gt;0,12,0)</f>
        <v>0</v>
      </c>
      <c r="N173" s="161">
        <f t="shared" si="28"/>
        <v>0</v>
      </c>
      <c r="O173" s="75"/>
      <c r="P173" s="54">
        <f t="shared" si="29"/>
        <v>0</v>
      </c>
    </row>
    <row r="174" spans="1:16" ht="14.25" hidden="1">
      <c r="A174" s="54">
        <f>IF(J174=0,0,IF(J174&lt;'Información general'!$F$13*2,H174,0))</f>
        <v>0</v>
      </c>
      <c r="B174" s="378"/>
      <c r="C174" s="174"/>
      <c r="D174" s="380"/>
      <c r="E174" s="381"/>
      <c r="F174" s="175"/>
      <c r="G174" s="309">
        <f aca="true" t="shared" si="33" ref="G174:G237">+D174*F174</f>
        <v>0</v>
      </c>
      <c r="H174" s="382">
        <f aca="true" t="shared" si="34" ref="H174:H237">D174</f>
        <v>0</v>
      </c>
      <c r="I174" s="382">
        <f t="shared" si="30"/>
        <v>0</v>
      </c>
      <c r="J174" s="160">
        <f>ROUND(F174*(1+'Información general'!$F$10),0)</f>
        <v>0</v>
      </c>
      <c r="K174" s="160">
        <f aca="true" t="shared" si="35" ref="K174:K237">+H174*J174</f>
        <v>0</v>
      </c>
      <c r="L174" s="177">
        <f t="shared" si="31"/>
        <v>0</v>
      </c>
      <c r="M174" s="382">
        <f t="shared" si="32"/>
        <v>0</v>
      </c>
      <c r="N174" s="161">
        <f aca="true" t="shared" si="36" ref="N174:N237">+K174*M174</f>
        <v>0</v>
      </c>
      <c r="O174" s="75"/>
      <c r="P174" s="54">
        <f t="shared" si="29"/>
        <v>0</v>
      </c>
    </row>
    <row r="175" spans="1:16" ht="14.25" hidden="1">
      <c r="A175" s="54">
        <f>IF(J175=0,0,IF(J175&lt;'Información general'!$F$13*2,H175,0))</f>
        <v>0</v>
      </c>
      <c r="B175" s="378"/>
      <c r="C175" s="174"/>
      <c r="D175" s="380"/>
      <c r="E175" s="381"/>
      <c r="F175" s="175"/>
      <c r="G175" s="309">
        <f t="shared" si="33"/>
        <v>0</v>
      </c>
      <c r="H175" s="382">
        <f t="shared" si="34"/>
        <v>0</v>
      </c>
      <c r="I175" s="382">
        <f t="shared" si="30"/>
        <v>0</v>
      </c>
      <c r="J175" s="160">
        <f>ROUND(F175*(1+'Información general'!$F$10),0)</f>
        <v>0</v>
      </c>
      <c r="K175" s="160">
        <f t="shared" si="35"/>
        <v>0</v>
      </c>
      <c r="L175" s="177">
        <f t="shared" si="31"/>
        <v>0</v>
      </c>
      <c r="M175" s="382">
        <f t="shared" si="32"/>
        <v>0</v>
      </c>
      <c r="N175" s="161">
        <f t="shared" si="36"/>
        <v>0</v>
      </c>
      <c r="O175" s="75"/>
      <c r="P175" s="54">
        <f t="shared" si="29"/>
        <v>0</v>
      </c>
    </row>
    <row r="176" spans="1:16" ht="14.25" hidden="1">
      <c r="A176" s="54">
        <f>IF(J176=0,0,IF(J176&lt;'Información general'!$F$13*2,H176,0))</f>
        <v>0</v>
      </c>
      <c r="B176" s="378"/>
      <c r="C176" s="174"/>
      <c r="D176" s="380"/>
      <c r="E176" s="381"/>
      <c r="F176" s="175"/>
      <c r="G176" s="309">
        <f t="shared" si="33"/>
        <v>0</v>
      </c>
      <c r="H176" s="382">
        <f t="shared" si="34"/>
        <v>0</v>
      </c>
      <c r="I176" s="382">
        <f t="shared" si="30"/>
        <v>0</v>
      </c>
      <c r="J176" s="160">
        <f>ROUND(F176*(1+'Información general'!$F$10),0)</f>
        <v>0</v>
      </c>
      <c r="K176" s="160">
        <f t="shared" si="35"/>
        <v>0</v>
      </c>
      <c r="L176" s="177">
        <f t="shared" si="31"/>
        <v>0</v>
      </c>
      <c r="M176" s="382">
        <f t="shared" si="32"/>
        <v>0</v>
      </c>
      <c r="N176" s="161">
        <f t="shared" si="36"/>
        <v>0</v>
      </c>
      <c r="O176" s="75"/>
      <c r="P176" s="54">
        <f t="shared" si="29"/>
        <v>0</v>
      </c>
    </row>
    <row r="177" spans="1:16" ht="14.25" hidden="1">
      <c r="A177" s="54">
        <f>IF(J177=0,0,IF(J177&lt;'Información general'!$F$13*2,H177,0))</f>
        <v>0</v>
      </c>
      <c r="B177" s="378"/>
      <c r="C177" s="174"/>
      <c r="D177" s="380"/>
      <c r="E177" s="381"/>
      <c r="F177" s="175"/>
      <c r="G177" s="309">
        <f t="shared" si="33"/>
        <v>0</v>
      </c>
      <c r="H177" s="382">
        <f t="shared" si="34"/>
        <v>0</v>
      </c>
      <c r="I177" s="382">
        <f t="shared" si="30"/>
        <v>0</v>
      </c>
      <c r="J177" s="160">
        <f>ROUND(F177*(1+'Información general'!$F$10),0)</f>
        <v>0</v>
      </c>
      <c r="K177" s="160">
        <f t="shared" si="35"/>
        <v>0</v>
      </c>
      <c r="L177" s="177">
        <f t="shared" si="31"/>
        <v>0</v>
      </c>
      <c r="M177" s="382">
        <f t="shared" si="32"/>
        <v>0</v>
      </c>
      <c r="N177" s="161">
        <f t="shared" si="36"/>
        <v>0</v>
      </c>
      <c r="O177" s="75"/>
      <c r="P177" s="54">
        <f t="shared" si="29"/>
        <v>0</v>
      </c>
    </row>
    <row r="178" spans="1:16" ht="14.25" hidden="1">
      <c r="A178" s="54">
        <f>IF(J178=0,0,IF(J178&lt;'Información general'!$F$13*2,H178,0))</f>
        <v>0</v>
      </c>
      <c r="B178" s="378"/>
      <c r="C178" s="174"/>
      <c r="D178" s="380"/>
      <c r="E178" s="381"/>
      <c r="F178" s="175"/>
      <c r="G178" s="309">
        <f t="shared" si="33"/>
        <v>0</v>
      </c>
      <c r="H178" s="382">
        <f t="shared" si="34"/>
        <v>0</v>
      </c>
      <c r="I178" s="382">
        <f t="shared" si="30"/>
        <v>0</v>
      </c>
      <c r="J178" s="160">
        <f>ROUND(F178*(1+'Información general'!$F$10),0)</f>
        <v>0</v>
      </c>
      <c r="K178" s="160">
        <f t="shared" si="35"/>
        <v>0</v>
      </c>
      <c r="L178" s="177">
        <f t="shared" si="31"/>
        <v>0</v>
      </c>
      <c r="M178" s="382">
        <f t="shared" si="32"/>
        <v>0</v>
      </c>
      <c r="N178" s="161">
        <f t="shared" si="36"/>
        <v>0</v>
      </c>
      <c r="O178" s="75"/>
      <c r="P178" s="54">
        <f t="shared" si="29"/>
        <v>0</v>
      </c>
    </row>
    <row r="179" spans="1:16" ht="14.25" hidden="1">
      <c r="A179" s="54">
        <f>IF(J179=0,0,IF(J179&lt;'Información general'!$F$13*2,H179,0))</f>
        <v>0</v>
      </c>
      <c r="B179" s="378"/>
      <c r="C179" s="174"/>
      <c r="D179" s="380"/>
      <c r="E179" s="381"/>
      <c r="F179" s="175"/>
      <c r="G179" s="309">
        <f t="shared" si="33"/>
        <v>0</v>
      </c>
      <c r="H179" s="382">
        <f t="shared" si="34"/>
        <v>0</v>
      </c>
      <c r="I179" s="382">
        <f t="shared" si="30"/>
        <v>0</v>
      </c>
      <c r="J179" s="160">
        <f>ROUND(F179*(1+'Información general'!$F$10),0)</f>
        <v>0</v>
      </c>
      <c r="K179" s="160">
        <f t="shared" si="35"/>
        <v>0</v>
      </c>
      <c r="L179" s="177">
        <f t="shared" si="31"/>
        <v>0</v>
      </c>
      <c r="M179" s="382">
        <f t="shared" si="32"/>
        <v>0</v>
      </c>
      <c r="N179" s="161">
        <f t="shared" si="36"/>
        <v>0</v>
      </c>
      <c r="O179" s="75"/>
      <c r="P179" s="54">
        <f t="shared" si="29"/>
        <v>0</v>
      </c>
    </row>
    <row r="180" spans="1:16" ht="14.25" hidden="1">
      <c r="A180" s="54">
        <f>IF(J180=0,0,IF(J180&lt;'Información general'!$F$13*2,H180,0))</f>
        <v>0</v>
      </c>
      <c r="B180" s="378"/>
      <c r="C180" s="174"/>
      <c r="D180" s="380"/>
      <c r="E180" s="381"/>
      <c r="F180" s="175"/>
      <c r="G180" s="309">
        <f t="shared" si="33"/>
        <v>0</v>
      </c>
      <c r="H180" s="382">
        <f t="shared" si="34"/>
        <v>0</v>
      </c>
      <c r="I180" s="382">
        <f t="shared" si="30"/>
        <v>0</v>
      </c>
      <c r="J180" s="160">
        <f>ROUND(F180*(1+'Información general'!$F$10),0)</f>
        <v>0</v>
      </c>
      <c r="K180" s="160">
        <f t="shared" si="35"/>
        <v>0</v>
      </c>
      <c r="L180" s="177">
        <f t="shared" si="31"/>
        <v>0</v>
      </c>
      <c r="M180" s="382">
        <f t="shared" si="32"/>
        <v>0</v>
      </c>
      <c r="N180" s="161">
        <f t="shared" si="36"/>
        <v>0</v>
      </c>
      <c r="O180" s="75"/>
      <c r="P180" s="54">
        <f t="shared" si="29"/>
        <v>0</v>
      </c>
    </row>
    <row r="181" spans="1:16" ht="14.25" hidden="1">
      <c r="A181" s="54">
        <f>IF(J181=0,0,IF(J181&lt;'Información general'!$F$13*2,H181,0))</f>
        <v>0</v>
      </c>
      <c r="B181" s="378"/>
      <c r="C181" s="174"/>
      <c r="D181" s="380"/>
      <c r="E181" s="381"/>
      <c r="F181" s="175"/>
      <c r="G181" s="309">
        <f t="shared" si="33"/>
        <v>0</v>
      </c>
      <c r="H181" s="382">
        <f t="shared" si="34"/>
        <v>0</v>
      </c>
      <c r="I181" s="382">
        <f t="shared" si="30"/>
        <v>0</v>
      </c>
      <c r="J181" s="160">
        <f>ROUND(F181*(1+'Información general'!$F$10),0)</f>
        <v>0</v>
      </c>
      <c r="K181" s="160">
        <f t="shared" si="35"/>
        <v>0</v>
      </c>
      <c r="L181" s="177">
        <f t="shared" si="31"/>
        <v>0</v>
      </c>
      <c r="M181" s="382">
        <f t="shared" si="32"/>
        <v>0</v>
      </c>
      <c r="N181" s="161">
        <f t="shared" si="36"/>
        <v>0</v>
      </c>
      <c r="O181" s="75"/>
      <c r="P181" s="54">
        <f t="shared" si="29"/>
        <v>0</v>
      </c>
    </row>
    <row r="182" spans="1:16" ht="14.25" hidden="1">
      <c r="A182" s="54">
        <f>IF(J182=0,0,IF(J182&lt;'Información general'!$F$13*2,H182,0))</f>
        <v>0</v>
      </c>
      <c r="B182" s="378"/>
      <c r="C182" s="174"/>
      <c r="D182" s="380"/>
      <c r="E182" s="381"/>
      <c r="F182" s="175"/>
      <c r="G182" s="309">
        <f t="shared" si="33"/>
        <v>0</v>
      </c>
      <c r="H182" s="382">
        <f t="shared" si="34"/>
        <v>0</v>
      </c>
      <c r="I182" s="382">
        <f t="shared" si="30"/>
        <v>0</v>
      </c>
      <c r="J182" s="160">
        <f>ROUND(F182*(1+'Información general'!$F$10),0)</f>
        <v>0</v>
      </c>
      <c r="K182" s="160">
        <f t="shared" si="35"/>
        <v>0</v>
      </c>
      <c r="L182" s="177">
        <f t="shared" si="31"/>
        <v>0</v>
      </c>
      <c r="M182" s="382">
        <f t="shared" si="32"/>
        <v>0</v>
      </c>
      <c r="N182" s="161">
        <f t="shared" si="36"/>
        <v>0</v>
      </c>
      <c r="O182" s="75"/>
      <c r="P182" s="54">
        <f t="shared" si="29"/>
        <v>0</v>
      </c>
    </row>
    <row r="183" spans="1:16" ht="14.25" hidden="1">
      <c r="A183" s="54">
        <f>IF(J183=0,0,IF(J183&lt;'Información general'!$F$13*2,H183,0))</f>
        <v>0</v>
      </c>
      <c r="B183" s="378"/>
      <c r="C183" s="174"/>
      <c r="D183" s="380"/>
      <c r="E183" s="381"/>
      <c r="F183" s="175"/>
      <c r="G183" s="309">
        <f t="shared" si="33"/>
        <v>0</v>
      </c>
      <c r="H183" s="382">
        <f t="shared" si="34"/>
        <v>0</v>
      </c>
      <c r="I183" s="382">
        <f t="shared" si="30"/>
        <v>0</v>
      </c>
      <c r="J183" s="160">
        <f>ROUND(F183*(1+'Información general'!$F$10),0)</f>
        <v>0</v>
      </c>
      <c r="K183" s="160">
        <f t="shared" si="35"/>
        <v>0</v>
      </c>
      <c r="L183" s="177">
        <f t="shared" si="31"/>
        <v>0</v>
      </c>
      <c r="M183" s="382">
        <f t="shared" si="32"/>
        <v>0</v>
      </c>
      <c r="N183" s="161">
        <f t="shared" si="36"/>
        <v>0</v>
      </c>
      <c r="O183" s="75"/>
      <c r="P183" s="54">
        <f t="shared" si="29"/>
        <v>0</v>
      </c>
    </row>
    <row r="184" spans="1:16" ht="14.25" hidden="1">
      <c r="A184" s="54">
        <f>IF(J184=0,0,IF(J184&lt;'Información general'!$F$13*2,H184,0))</f>
        <v>0</v>
      </c>
      <c r="B184" s="378"/>
      <c r="C184" s="174"/>
      <c r="D184" s="380"/>
      <c r="E184" s="381"/>
      <c r="F184" s="175"/>
      <c r="G184" s="309">
        <f t="shared" si="33"/>
        <v>0</v>
      </c>
      <c r="H184" s="382">
        <f t="shared" si="34"/>
        <v>0</v>
      </c>
      <c r="I184" s="382">
        <f t="shared" si="30"/>
        <v>0</v>
      </c>
      <c r="J184" s="160">
        <f>ROUND(F184*(1+'Información general'!$F$10),0)</f>
        <v>0</v>
      </c>
      <c r="K184" s="160">
        <f t="shared" si="35"/>
        <v>0</v>
      </c>
      <c r="L184" s="177">
        <f t="shared" si="31"/>
        <v>0</v>
      </c>
      <c r="M184" s="382">
        <f t="shared" si="32"/>
        <v>0</v>
      </c>
      <c r="N184" s="161">
        <f t="shared" si="36"/>
        <v>0</v>
      </c>
      <c r="O184" s="75"/>
      <c r="P184" s="54">
        <f t="shared" si="29"/>
        <v>0</v>
      </c>
    </row>
    <row r="185" spans="1:16" ht="14.25" hidden="1">
      <c r="A185" s="54">
        <f>IF(J185=0,0,IF(J185&lt;'Información general'!$F$13*2,H185,0))</f>
        <v>0</v>
      </c>
      <c r="B185" s="378"/>
      <c r="C185" s="174"/>
      <c r="D185" s="380"/>
      <c r="E185" s="381"/>
      <c r="F185" s="175"/>
      <c r="G185" s="309">
        <f t="shared" si="33"/>
        <v>0</v>
      </c>
      <c r="H185" s="382">
        <f t="shared" si="34"/>
        <v>0</v>
      </c>
      <c r="I185" s="382">
        <f t="shared" si="30"/>
        <v>0</v>
      </c>
      <c r="J185" s="160">
        <f>ROUND(F185*(1+'Información general'!$F$10),0)</f>
        <v>0</v>
      </c>
      <c r="K185" s="160">
        <f t="shared" si="35"/>
        <v>0</v>
      </c>
      <c r="L185" s="177">
        <f t="shared" si="31"/>
        <v>0</v>
      </c>
      <c r="M185" s="382">
        <f t="shared" si="32"/>
        <v>0</v>
      </c>
      <c r="N185" s="161">
        <f t="shared" si="36"/>
        <v>0</v>
      </c>
      <c r="O185" s="75"/>
      <c r="P185" s="54">
        <f t="shared" si="29"/>
        <v>0</v>
      </c>
    </row>
    <row r="186" spans="1:16" ht="14.25" hidden="1">
      <c r="A186" s="54">
        <f>IF(J186=0,0,IF(J186&lt;'Información general'!$F$13*2,H186,0))</f>
        <v>0</v>
      </c>
      <c r="B186" s="378"/>
      <c r="C186" s="174"/>
      <c r="D186" s="380"/>
      <c r="E186" s="381"/>
      <c r="F186" s="175"/>
      <c r="G186" s="309">
        <f t="shared" si="33"/>
        <v>0</v>
      </c>
      <c r="H186" s="382">
        <f t="shared" si="34"/>
        <v>0</v>
      </c>
      <c r="I186" s="382">
        <f t="shared" si="30"/>
        <v>0</v>
      </c>
      <c r="J186" s="160">
        <f>ROUND(F186*(1+'Información general'!$F$10),0)</f>
        <v>0</v>
      </c>
      <c r="K186" s="160">
        <f t="shared" si="35"/>
        <v>0</v>
      </c>
      <c r="L186" s="177">
        <f t="shared" si="31"/>
        <v>0</v>
      </c>
      <c r="M186" s="382">
        <f t="shared" si="32"/>
        <v>0</v>
      </c>
      <c r="N186" s="161">
        <f t="shared" si="36"/>
        <v>0</v>
      </c>
      <c r="O186" s="75"/>
      <c r="P186" s="54">
        <f t="shared" si="29"/>
        <v>0</v>
      </c>
    </row>
    <row r="187" spans="1:16" ht="14.25" hidden="1">
      <c r="A187" s="54">
        <f>IF(J187=0,0,IF(J187&lt;'Información general'!$F$13*2,H187,0))</f>
        <v>0</v>
      </c>
      <c r="B187" s="378"/>
      <c r="C187" s="174"/>
      <c r="D187" s="380"/>
      <c r="E187" s="381"/>
      <c r="F187" s="175"/>
      <c r="G187" s="309">
        <f t="shared" si="33"/>
        <v>0</v>
      </c>
      <c r="H187" s="382">
        <f t="shared" si="34"/>
        <v>0</v>
      </c>
      <c r="I187" s="382">
        <f t="shared" si="30"/>
        <v>0</v>
      </c>
      <c r="J187" s="160">
        <f>ROUND(F187*(1+'Información general'!$F$10),0)</f>
        <v>0</v>
      </c>
      <c r="K187" s="160">
        <f t="shared" si="35"/>
        <v>0</v>
      </c>
      <c r="L187" s="177">
        <f t="shared" si="31"/>
        <v>0</v>
      </c>
      <c r="M187" s="382">
        <f t="shared" si="32"/>
        <v>0</v>
      </c>
      <c r="N187" s="161">
        <f t="shared" si="36"/>
        <v>0</v>
      </c>
      <c r="O187" s="75"/>
      <c r="P187" s="54">
        <f t="shared" si="29"/>
        <v>0</v>
      </c>
    </row>
    <row r="188" spans="1:16" ht="14.25" hidden="1">
      <c r="A188" s="54">
        <f>IF(J188=0,0,IF(J188&lt;'Información general'!$F$13*2,H188,0))</f>
        <v>0</v>
      </c>
      <c r="B188" s="378"/>
      <c r="C188" s="174"/>
      <c r="D188" s="380"/>
      <c r="E188" s="381"/>
      <c r="F188" s="175"/>
      <c r="G188" s="309">
        <f t="shared" si="33"/>
        <v>0</v>
      </c>
      <c r="H188" s="382">
        <f t="shared" si="34"/>
        <v>0</v>
      </c>
      <c r="I188" s="382">
        <f t="shared" si="30"/>
        <v>0</v>
      </c>
      <c r="J188" s="160">
        <f>ROUND(F188*(1+'Información general'!$F$10),0)</f>
        <v>0</v>
      </c>
      <c r="K188" s="160">
        <f t="shared" si="35"/>
        <v>0</v>
      </c>
      <c r="L188" s="177">
        <f t="shared" si="31"/>
        <v>0</v>
      </c>
      <c r="M188" s="382">
        <f t="shared" si="32"/>
        <v>0</v>
      </c>
      <c r="N188" s="161">
        <f t="shared" si="36"/>
        <v>0</v>
      </c>
      <c r="O188" s="75"/>
      <c r="P188" s="54">
        <f t="shared" si="29"/>
        <v>0</v>
      </c>
    </row>
    <row r="189" spans="1:16" ht="14.25" hidden="1">
      <c r="A189" s="54">
        <f>IF(J189=0,0,IF(J189&lt;'Información general'!$F$13*2,H189,0))</f>
        <v>0</v>
      </c>
      <c r="B189" s="378"/>
      <c r="C189" s="174"/>
      <c r="D189" s="380"/>
      <c r="E189" s="381"/>
      <c r="F189" s="175"/>
      <c r="G189" s="309">
        <f t="shared" si="33"/>
        <v>0</v>
      </c>
      <c r="H189" s="382">
        <f t="shared" si="34"/>
        <v>0</v>
      </c>
      <c r="I189" s="382">
        <f t="shared" si="30"/>
        <v>0</v>
      </c>
      <c r="J189" s="160">
        <f>ROUND(F189*(1+'Información general'!$F$10),0)</f>
        <v>0</v>
      </c>
      <c r="K189" s="160">
        <f t="shared" si="35"/>
        <v>0</v>
      </c>
      <c r="L189" s="177">
        <f t="shared" si="31"/>
        <v>0</v>
      </c>
      <c r="M189" s="382">
        <f t="shared" si="32"/>
        <v>0</v>
      </c>
      <c r="N189" s="161">
        <f t="shared" si="36"/>
        <v>0</v>
      </c>
      <c r="O189" s="75"/>
      <c r="P189" s="54">
        <f t="shared" si="29"/>
        <v>0</v>
      </c>
    </row>
    <row r="190" spans="1:16" ht="14.25" hidden="1">
      <c r="A190" s="54">
        <f>IF(J190=0,0,IF(J190&lt;'Información general'!$F$13*2,H190,0))</f>
        <v>0</v>
      </c>
      <c r="B190" s="378"/>
      <c r="C190" s="174"/>
      <c r="D190" s="380"/>
      <c r="E190" s="381"/>
      <c r="F190" s="175"/>
      <c r="G190" s="309">
        <f t="shared" si="33"/>
        <v>0</v>
      </c>
      <c r="H190" s="382">
        <f t="shared" si="34"/>
        <v>0</v>
      </c>
      <c r="I190" s="382">
        <f t="shared" si="30"/>
        <v>0</v>
      </c>
      <c r="J190" s="160">
        <f>ROUND(F190*(1+'Información general'!$F$10),0)</f>
        <v>0</v>
      </c>
      <c r="K190" s="160">
        <f t="shared" si="35"/>
        <v>0</v>
      </c>
      <c r="L190" s="177">
        <f t="shared" si="31"/>
        <v>0</v>
      </c>
      <c r="M190" s="382">
        <f t="shared" si="32"/>
        <v>0</v>
      </c>
      <c r="N190" s="161">
        <f t="shared" si="36"/>
        <v>0</v>
      </c>
      <c r="O190" s="75"/>
      <c r="P190" s="54">
        <f t="shared" si="29"/>
        <v>0</v>
      </c>
    </row>
    <row r="191" spans="1:16" ht="14.25" hidden="1">
      <c r="A191" s="54">
        <f>IF(J191=0,0,IF(J191&lt;'Información general'!$F$13*2,H191,0))</f>
        <v>0</v>
      </c>
      <c r="B191" s="378"/>
      <c r="C191" s="174"/>
      <c r="D191" s="380"/>
      <c r="E191" s="381"/>
      <c r="F191" s="175"/>
      <c r="G191" s="309">
        <f t="shared" si="33"/>
        <v>0</v>
      </c>
      <c r="H191" s="382">
        <f t="shared" si="34"/>
        <v>0</v>
      </c>
      <c r="I191" s="382">
        <f t="shared" si="30"/>
        <v>0</v>
      </c>
      <c r="J191" s="160">
        <f>ROUND(F191*(1+'Información general'!$F$10),0)</f>
        <v>0</v>
      </c>
      <c r="K191" s="160">
        <f t="shared" si="35"/>
        <v>0</v>
      </c>
      <c r="L191" s="177">
        <f t="shared" si="31"/>
        <v>0</v>
      </c>
      <c r="M191" s="382">
        <f t="shared" si="32"/>
        <v>0</v>
      </c>
      <c r="N191" s="161">
        <f t="shared" si="36"/>
        <v>0</v>
      </c>
      <c r="O191" s="75"/>
      <c r="P191" s="54">
        <f aca="true" t="shared" si="37" ref="P191:P254">+IF(COUNT(B191:N191)&gt;8,1,0)</f>
        <v>0</v>
      </c>
    </row>
    <row r="192" spans="1:16" ht="14.25" hidden="1">
      <c r="A192" s="54">
        <f>IF(J192=0,0,IF(J192&lt;'Información general'!$F$13*2,H192,0))</f>
        <v>0</v>
      </c>
      <c r="B192" s="378"/>
      <c r="C192" s="174"/>
      <c r="D192" s="380"/>
      <c r="E192" s="381"/>
      <c r="F192" s="175"/>
      <c r="G192" s="309">
        <f t="shared" si="33"/>
        <v>0</v>
      </c>
      <c r="H192" s="382">
        <f t="shared" si="34"/>
        <v>0</v>
      </c>
      <c r="I192" s="382">
        <f t="shared" si="30"/>
        <v>0</v>
      </c>
      <c r="J192" s="160">
        <f>ROUND(F192*(1+'Información general'!$F$10),0)</f>
        <v>0</v>
      </c>
      <c r="K192" s="160">
        <f t="shared" si="35"/>
        <v>0</v>
      </c>
      <c r="L192" s="177">
        <f t="shared" si="31"/>
        <v>0</v>
      </c>
      <c r="M192" s="382">
        <f t="shared" si="32"/>
        <v>0</v>
      </c>
      <c r="N192" s="161">
        <f t="shared" si="36"/>
        <v>0</v>
      </c>
      <c r="O192" s="75"/>
      <c r="P192" s="54">
        <f t="shared" si="37"/>
        <v>0</v>
      </c>
    </row>
    <row r="193" spans="1:16" ht="14.25" hidden="1">
      <c r="A193" s="54">
        <f>IF(J193=0,0,IF(J193&lt;'Información general'!$F$13*2,H193,0))</f>
        <v>0</v>
      </c>
      <c r="B193" s="378"/>
      <c r="C193" s="174"/>
      <c r="D193" s="380"/>
      <c r="E193" s="381"/>
      <c r="F193" s="175"/>
      <c r="G193" s="309">
        <f t="shared" si="33"/>
        <v>0</v>
      </c>
      <c r="H193" s="382">
        <f t="shared" si="34"/>
        <v>0</v>
      </c>
      <c r="I193" s="382">
        <f t="shared" si="30"/>
        <v>0</v>
      </c>
      <c r="J193" s="160">
        <f>ROUND(F193*(1+'Información general'!$F$10),0)</f>
        <v>0</v>
      </c>
      <c r="K193" s="160">
        <f t="shared" si="35"/>
        <v>0</v>
      </c>
      <c r="L193" s="177">
        <f t="shared" si="31"/>
        <v>0</v>
      </c>
      <c r="M193" s="382">
        <f t="shared" si="32"/>
        <v>0</v>
      </c>
      <c r="N193" s="161">
        <f t="shared" si="36"/>
        <v>0</v>
      </c>
      <c r="O193" s="75"/>
      <c r="P193" s="54">
        <f t="shared" si="37"/>
        <v>0</v>
      </c>
    </row>
    <row r="194" spans="1:16" ht="14.25" hidden="1">
      <c r="A194" s="54">
        <f>IF(J194=0,0,IF(J194&lt;'Información general'!$F$13*2,H194,0))</f>
        <v>0</v>
      </c>
      <c r="B194" s="378"/>
      <c r="C194" s="174"/>
      <c r="D194" s="380"/>
      <c r="E194" s="381"/>
      <c r="F194" s="175"/>
      <c r="G194" s="309">
        <f t="shared" si="33"/>
        <v>0</v>
      </c>
      <c r="H194" s="382">
        <f t="shared" si="34"/>
        <v>0</v>
      </c>
      <c r="I194" s="382">
        <f t="shared" si="30"/>
        <v>0</v>
      </c>
      <c r="J194" s="160">
        <f>ROUND(F194*(1+'Información general'!$F$10),0)</f>
        <v>0</v>
      </c>
      <c r="K194" s="160">
        <f t="shared" si="35"/>
        <v>0</v>
      </c>
      <c r="L194" s="177">
        <f t="shared" si="31"/>
        <v>0</v>
      </c>
      <c r="M194" s="382">
        <f t="shared" si="32"/>
        <v>0</v>
      </c>
      <c r="N194" s="161">
        <f t="shared" si="36"/>
        <v>0</v>
      </c>
      <c r="O194" s="75"/>
      <c r="P194" s="54">
        <f t="shared" si="37"/>
        <v>0</v>
      </c>
    </row>
    <row r="195" spans="1:16" ht="14.25" hidden="1">
      <c r="A195" s="54">
        <f>IF(J195=0,0,IF(J195&lt;'Información general'!$F$13*2,H195,0))</f>
        <v>0</v>
      </c>
      <c r="B195" s="378"/>
      <c r="C195" s="174"/>
      <c r="D195" s="380"/>
      <c r="E195" s="381"/>
      <c r="F195" s="175"/>
      <c r="G195" s="309">
        <f t="shared" si="33"/>
        <v>0</v>
      </c>
      <c r="H195" s="382">
        <f t="shared" si="34"/>
        <v>0</v>
      </c>
      <c r="I195" s="382">
        <f t="shared" si="30"/>
        <v>0</v>
      </c>
      <c r="J195" s="160">
        <f>ROUND(F195*(1+'Información general'!$F$10),0)</f>
        <v>0</v>
      </c>
      <c r="K195" s="160">
        <f t="shared" si="35"/>
        <v>0</v>
      </c>
      <c r="L195" s="177">
        <f t="shared" si="31"/>
        <v>0</v>
      </c>
      <c r="M195" s="382">
        <f t="shared" si="32"/>
        <v>0</v>
      </c>
      <c r="N195" s="161">
        <f t="shared" si="36"/>
        <v>0</v>
      </c>
      <c r="O195" s="75"/>
      <c r="P195" s="54">
        <f t="shared" si="37"/>
        <v>0</v>
      </c>
    </row>
    <row r="196" spans="1:16" ht="14.25" hidden="1">
      <c r="A196" s="54">
        <f>IF(J196=0,0,IF(J196&lt;'Información general'!$F$13*2,H196,0))</f>
        <v>0</v>
      </c>
      <c r="B196" s="378"/>
      <c r="C196" s="174"/>
      <c r="D196" s="380"/>
      <c r="E196" s="381"/>
      <c r="F196" s="175"/>
      <c r="G196" s="309">
        <f t="shared" si="33"/>
        <v>0</v>
      </c>
      <c r="H196" s="382">
        <f t="shared" si="34"/>
        <v>0</v>
      </c>
      <c r="I196" s="382">
        <f t="shared" si="30"/>
        <v>0</v>
      </c>
      <c r="J196" s="160">
        <f>ROUND(F196*(1+'Información general'!$F$10),0)</f>
        <v>0</v>
      </c>
      <c r="K196" s="160">
        <f t="shared" si="35"/>
        <v>0</v>
      </c>
      <c r="L196" s="177">
        <f t="shared" si="31"/>
        <v>0</v>
      </c>
      <c r="M196" s="382">
        <f t="shared" si="32"/>
        <v>0</v>
      </c>
      <c r="N196" s="161">
        <f t="shared" si="36"/>
        <v>0</v>
      </c>
      <c r="O196" s="75"/>
      <c r="P196" s="54">
        <f t="shared" si="37"/>
        <v>0</v>
      </c>
    </row>
    <row r="197" spans="1:16" ht="14.25" hidden="1">
      <c r="A197" s="54">
        <f>IF(J197=0,0,IF(J197&lt;'Información general'!$F$13*2,H197,0))</f>
        <v>0</v>
      </c>
      <c r="B197" s="378"/>
      <c r="C197" s="174"/>
      <c r="D197" s="380"/>
      <c r="E197" s="381"/>
      <c r="F197" s="175"/>
      <c r="G197" s="309">
        <f t="shared" si="33"/>
        <v>0</v>
      </c>
      <c r="H197" s="382">
        <f t="shared" si="34"/>
        <v>0</v>
      </c>
      <c r="I197" s="382">
        <f t="shared" si="30"/>
        <v>0</v>
      </c>
      <c r="J197" s="160">
        <f>ROUND(F197*(1+'Información general'!$F$10),0)</f>
        <v>0</v>
      </c>
      <c r="K197" s="160">
        <f t="shared" si="35"/>
        <v>0</v>
      </c>
      <c r="L197" s="177">
        <f t="shared" si="31"/>
        <v>0</v>
      </c>
      <c r="M197" s="382">
        <f t="shared" si="32"/>
        <v>0</v>
      </c>
      <c r="N197" s="161">
        <f t="shared" si="36"/>
        <v>0</v>
      </c>
      <c r="O197" s="75"/>
      <c r="P197" s="54">
        <f t="shared" si="37"/>
        <v>0</v>
      </c>
    </row>
    <row r="198" spans="1:16" ht="14.25" hidden="1">
      <c r="A198" s="54">
        <f>IF(J198=0,0,IF(J198&lt;'Información general'!$F$13*2,H198,0))</f>
        <v>0</v>
      </c>
      <c r="B198" s="378"/>
      <c r="C198" s="174"/>
      <c r="D198" s="380"/>
      <c r="E198" s="381"/>
      <c r="F198" s="175"/>
      <c r="G198" s="309">
        <f t="shared" si="33"/>
        <v>0</v>
      </c>
      <c r="H198" s="382">
        <f t="shared" si="34"/>
        <v>0</v>
      </c>
      <c r="I198" s="382">
        <f t="shared" si="30"/>
        <v>0</v>
      </c>
      <c r="J198" s="160">
        <f>ROUND(F198*(1+'Información general'!$F$10),0)</f>
        <v>0</v>
      </c>
      <c r="K198" s="160">
        <f t="shared" si="35"/>
        <v>0</v>
      </c>
      <c r="L198" s="177">
        <f t="shared" si="31"/>
        <v>0</v>
      </c>
      <c r="M198" s="382">
        <f t="shared" si="32"/>
        <v>0</v>
      </c>
      <c r="N198" s="161">
        <f t="shared" si="36"/>
        <v>0</v>
      </c>
      <c r="O198" s="75"/>
      <c r="P198" s="54">
        <f t="shared" si="37"/>
        <v>0</v>
      </c>
    </row>
    <row r="199" spans="1:16" ht="14.25" hidden="1">
      <c r="A199" s="54">
        <f>IF(J199=0,0,IF(J199&lt;'Información general'!$F$13*2,H199,0))</f>
        <v>0</v>
      </c>
      <c r="B199" s="378"/>
      <c r="C199" s="174"/>
      <c r="D199" s="380"/>
      <c r="E199" s="381"/>
      <c r="F199" s="175"/>
      <c r="G199" s="309">
        <f t="shared" si="33"/>
        <v>0</v>
      </c>
      <c r="H199" s="382">
        <f t="shared" si="34"/>
        <v>0</v>
      </c>
      <c r="I199" s="382">
        <f t="shared" si="30"/>
        <v>0</v>
      </c>
      <c r="J199" s="160">
        <f>ROUND(F199*(1+'Información general'!$F$10),0)</f>
        <v>0</v>
      </c>
      <c r="K199" s="160">
        <f t="shared" si="35"/>
        <v>0</v>
      </c>
      <c r="L199" s="177">
        <f t="shared" si="31"/>
        <v>0</v>
      </c>
      <c r="M199" s="382">
        <f t="shared" si="32"/>
        <v>0</v>
      </c>
      <c r="N199" s="161">
        <f t="shared" si="36"/>
        <v>0</v>
      </c>
      <c r="O199" s="75"/>
      <c r="P199" s="54">
        <f t="shared" si="37"/>
        <v>0</v>
      </c>
    </row>
    <row r="200" spans="1:16" ht="14.25" hidden="1">
      <c r="A200" s="54">
        <f>IF(J200=0,0,IF(J200&lt;'Información general'!$F$13*2,H200,0))</f>
        <v>0</v>
      </c>
      <c r="B200" s="378"/>
      <c r="C200" s="174"/>
      <c r="D200" s="380"/>
      <c r="E200" s="381"/>
      <c r="F200" s="175"/>
      <c r="G200" s="309">
        <f t="shared" si="33"/>
        <v>0</v>
      </c>
      <c r="H200" s="382">
        <f t="shared" si="34"/>
        <v>0</v>
      </c>
      <c r="I200" s="382">
        <f t="shared" si="30"/>
        <v>0</v>
      </c>
      <c r="J200" s="160">
        <f>ROUND(F200*(1+'Información general'!$F$10),0)</f>
        <v>0</v>
      </c>
      <c r="K200" s="160">
        <f t="shared" si="35"/>
        <v>0</v>
      </c>
      <c r="L200" s="177">
        <f t="shared" si="31"/>
        <v>0</v>
      </c>
      <c r="M200" s="382">
        <f t="shared" si="32"/>
        <v>0</v>
      </c>
      <c r="N200" s="161">
        <f t="shared" si="36"/>
        <v>0</v>
      </c>
      <c r="O200" s="75"/>
      <c r="P200" s="54">
        <f t="shared" si="37"/>
        <v>0</v>
      </c>
    </row>
    <row r="201" spans="1:16" ht="14.25" hidden="1">
      <c r="A201" s="54">
        <f>IF(J201=0,0,IF(J201&lt;'Información general'!$F$13*2,H201,0))</f>
        <v>0</v>
      </c>
      <c r="B201" s="378"/>
      <c r="C201" s="174"/>
      <c r="D201" s="380"/>
      <c r="E201" s="381"/>
      <c r="F201" s="175"/>
      <c r="G201" s="309">
        <f t="shared" si="33"/>
        <v>0</v>
      </c>
      <c r="H201" s="382">
        <f t="shared" si="34"/>
        <v>0</v>
      </c>
      <c r="I201" s="382">
        <f t="shared" si="30"/>
        <v>0</v>
      </c>
      <c r="J201" s="160">
        <f>ROUND(F201*(1+'Información general'!$F$10),0)</f>
        <v>0</v>
      </c>
      <c r="K201" s="160">
        <f t="shared" si="35"/>
        <v>0</v>
      </c>
      <c r="L201" s="177">
        <f t="shared" si="31"/>
        <v>0</v>
      </c>
      <c r="M201" s="382">
        <f t="shared" si="32"/>
        <v>0</v>
      </c>
      <c r="N201" s="161">
        <f t="shared" si="36"/>
        <v>0</v>
      </c>
      <c r="O201" s="75"/>
      <c r="P201" s="54">
        <f t="shared" si="37"/>
        <v>0</v>
      </c>
    </row>
    <row r="202" spans="1:16" ht="14.25" hidden="1">
      <c r="A202" s="54">
        <f>IF(J202=0,0,IF(J202&lt;'Información general'!$F$13*2,H202,0))</f>
        <v>0</v>
      </c>
      <c r="B202" s="378"/>
      <c r="C202" s="174"/>
      <c r="D202" s="380"/>
      <c r="E202" s="381"/>
      <c r="F202" s="175"/>
      <c r="G202" s="309">
        <f t="shared" si="33"/>
        <v>0</v>
      </c>
      <c r="H202" s="382">
        <f t="shared" si="34"/>
        <v>0</v>
      </c>
      <c r="I202" s="382">
        <f t="shared" si="30"/>
        <v>0</v>
      </c>
      <c r="J202" s="160">
        <f>ROUND(F202*(1+'Información general'!$F$10),0)</f>
        <v>0</v>
      </c>
      <c r="K202" s="160">
        <f t="shared" si="35"/>
        <v>0</v>
      </c>
      <c r="L202" s="177">
        <f t="shared" si="31"/>
        <v>0</v>
      </c>
      <c r="M202" s="382">
        <f t="shared" si="32"/>
        <v>0</v>
      </c>
      <c r="N202" s="161">
        <f t="shared" si="36"/>
        <v>0</v>
      </c>
      <c r="O202" s="75"/>
      <c r="P202" s="54">
        <f t="shared" si="37"/>
        <v>0</v>
      </c>
    </row>
    <row r="203" spans="1:16" ht="14.25" hidden="1">
      <c r="A203" s="54">
        <f>IF(J203=0,0,IF(J203&lt;'Información general'!$F$13*2,H203,0))</f>
        <v>0</v>
      </c>
      <c r="B203" s="378"/>
      <c r="C203" s="174"/>
      <c r="D203" s="380"/>
      <c r="E203" s="381"/>
      <c r="F203" s="175"/>
      <c r="G203" s="309">
        <f t="shared" si="33"/>
        <v>0</v>
      </c>
      <c r="H203" s="382">
        <f t="shared" si="34"/>
        <v>0</v>
      </c>
      <c r="I203" s="382">
        <f t="shared" si="30"/>
        <v>0</v>
      </c>
      <c r="J203" s="160">
        <f>ROUND(F203*(1+'Información general'!$F$10),0)</f>
        <v>0</v>
      </c>
      <c r="K203" s="160">
        <f t="shared" si="35"/>
        <v>0</v>
      </c>
      <c r="L203" s="177">
        <f t="shared" si="31"/>
        <v>0</v>
      </c>
      <c r="M203" s="382">
        <f t="shared" si="32"/>
        <v>0</v>
      </c>
      <c r="N203" s="161">
        <f t="shared" si="36"/>
        <v>0</v>
      </c>
      <c r="O203" s="75"/>
      <c r="P203" s="54">
        <f t="shared" si="37"/>
        <v>0</v>
      </c>
    </row>
    <row r="204" spans="1:16" ht="14.25" hidden="1">
      <c r="A204" s="54">
        <f>IF(J204=0,0,IF(J204&lt;'Información general'!$F$13*2,H204,0))</f>
        <v>0</v>
      </c>
      <c r="B204" s="378"/>
      <c r="C204" s="174"/>
      <c r="D204" s="380"/>
      <c r="E204" s="381"/>
      <c r="F204" s="175"/>
      <c r="G204" s="309">
        <f t="shared" si="33"/>
        <v>0</v>
      </c>
      <c r="H204" s="382">
        <f t="shared" si="34"/>
        <v>0</v>
      </c>
      <c r="I204" s="382">
        <f t="shared" si="30"/>
        <v>0</v>
      </c>
      <c r="J204" s="160">
        <f>ROUND(F204*(1+'Información general'!$F$10),0)</f>
        <v>0</v>
      </c>
      <c r="K204" s="160">
        <f t="shared" si="35"/>
        <v>0</v>
      </c>
      <c r="L204" s="177">
        <f t="shared" si="31"/>
        <v>0</v>
      </c>
      <c r="M204" s="382">
        <f t="shared" si="32"/>
        <v>0</v>
      </c>
      <c r="N204" s="161">
        <f t="shared" si="36"/>
        <v>0</v>
      </c>
      <c r="O204" s="75"/>
      <c r="P204" s="54">
        <f t="shared" si="37"/>
        <v>0</v>
      </c>
    </row>
    <row r="205" spans="1:16" ht="14.25" hidden="1">
      <c r="A205" s="54">
        <f>IF(J205=0,0,IF(J205&lt;'Información general'!$F$13*2,H205,0))</f>
        <v>0</v>
      </c>
      <c r="B205" s="378"/>
      <c r="C205" s="174"/>
      <c r="D205" s="380"/>
      <c r="E205" s="381"/>
      <c r="F205" s="175"/>
      <c r="G205" s="309">
        <f t="shared" si="33"/>
        <v>0</v>
      </c>
      <c r="H205" s="382">
        <f t="shared" si="34"/>
        <v>0</v>
      </c>
      <c r="I205" s="382">
        <f t="shared" si="30"/>
        <v>0</v>
      </c>
      <c r="J205" s="160">
        <f>ROUND(F205*(1+'Información general'!$F$10),0)</f>
        <v>0</v>
      </c>
      <c r="K205" s="160">
        <f t="shared" si="35"/>
        <v>0</v>
      </c>
      <c r="L205" s="177">
        <f t="shared" si="31"/>
        <v>0</v>
      </c>
      <c r="M205" s="382">
        <f t="shared" si="32"/>
        <v>0</v>
      </c>
      <c r="N205" s="161">
        <f t="shared" si="36"/>
        <v>0</v>
      </c>
      <c r="O205" s="75"/>
      <c r="P205" s="54">
        <f t="shared" si="37"/>
        <v>0</v>
      </c>
    </row>
    <row r="206" spans="1:16" ht="14.25" hidden="1">
      <c r="A206" s="54">
        <f>IF(J206=0,0,IF(J206&lt;'Información general'!$F$13*2,H206,0))</f>
        <v>0</v>
      </c>
      <c r="B206" s="378"/>
      <c r="C206" s="174"/>
      <c r="D206" s="380"/>
      <c r="E206" s="381"/>
      <c r="F206" s="175"/>
      <c r="G206" s="309">
        <f t="shared" si="33"/>
        <v>0</v>
      </c>
      <c r="H206" s="382">
        <f t="shared" si="34"/>
        <v>0</v>
      </c>
      <c r="I206" s="382">
        <f t="shared" si="30"/>
        <v>0</v>
      </c>
      <c r="J206" s="160">
        <f>ROUND(F206*(1+'Información general'!$F$10),0)</f>
        <v>0</v>
      </c>
      <c r="K206" s="160">
        <f t="shared" si="35"/>
        <v>0</v>
      </c>
      <c r="L206" s="177">
        <f t="shared" si="31"/>
        <v>0</v>
      </c>
      <c r="M206" s="382">
        <f t="shared" si="32"/>
        <v>0</v>
      </c>
      <c r="N206" s="161">
        <f t="shared" si="36"/>
        <v>0</v>
      </c>
      <c r="O206" s="75"/>
      <c r="P206" s="54">
        <f t="shared" si="37"/>
        <v>0</v>
      </c>
    </row>
    <row r="207" spans="1:16" ht="14.25" hidden="1">
      <c r="A207" s="54">
        <f>IF(J207=0,0,IF(J207&lt;'Información general'!$F$13*2,H207,0))</f>
        <v>0</v>
      </c>
      <c r="B207" s="378"/>
      <c r="C207" s="174"/>
      <c r="D207" s="380"/>
      <c r="E207" s="381"/>
      <c r="F207" s="175"/>
      <c r="G207" s="309">
        <f t="shared" si="33"/>
        <v>0</v>
      </c>
      <c r="H207" s="382">
        <f t="shared" si="34"/>
        <v>0</v>
      </c>
      <c r="I207" s="382">
        <f t="shared" si="30"/>
        <v>0</v>
      </c>
      <c r="J207" s="160">
        <f>ROUND(F207*(1+'Información general'!$F$10),0)</f>
        <v>0</v>
      </c>
      <c r="K207" s="160">
        <f t="shared" si="35"/>
        <v>0</v>
      </c>
      <c r="L207" s="177">
        <f t="shared" si="31"/>
        <v>0</v>
      </c>
      <c r="M207" s="382">
        <f t="shared" si="32"/>
        <v>0</v>
      </c>
      <c r="N207" s="161">
        <f t="shared" si="36"/>
        <v>0</v>
      </c>
      <c r="O207" s="75"/>
      <c r="P207" s="54">
        <f t="shared" si="37"/>
        <v>0</v>
      </c>
    </row>
    <row r="208" spans="1:16" ht="14.25" hidden="1">
      <c r="A208" s="54">
        <f>IF(J208=0,0,IF(J208&lt;'Información general'!$F$13*2,H208,0))</f>
        <v>0</v>
      </c>
      <c r="B208" s="378"/>
      <c r="C208" s="174"/>
      <c r="D208" s="380"/>
      <c r="E208" s="381"/>
      <c r="F208" s="175"/>
      <c r="G208" s="309">
        <f t="shared" si="33"/>
        <v>0</v>
      </c>
      <c r="H208" s="382">
        <f t="shared" si="34"/>
        <v>0</v>
      </c>
      <c r="I208" s="382">
        <f t="shared" si="30"/>
        <v>0</v>
      </c>
      <c r="J208" s="160">
        <f>ROUND(F208*(1+'Información general'!$F$10),0)</f>
        <v>0</v>
      </c>
      <c r="K208" s="160">
        <f t="shared" si="35"/>
        <v>0</v>
      </c>
      <c r="L208" s="177">
        <f t="shared" si="31"/>
        <v>0</v>
      </c>
      <c r="M208" s="382">
        <f t="shared" si="32"/>
        <v>0</v>
      </c>
      <c r="N208" s="161">
        <f t="shared" si="36"/>
        <v>0</v>
      </c>
      <c r="O208" s="75"/>
      <c r="P208" s="54">
        <f t="shared" si="37"/>
        <v>0</v>
      </c>
    </row>
    <row r="209" spans="1:16" ht="14.25" hidden="1">
      <c r="A209" s="54">
        <f>IF(J209=0,0,IF(J209&lt;'Información general'!$F$13*2,H209,0))</f>
        <v>0</v>
      </c>
      <c r="B209" s="378"/>
      <c r="C209" s="174"/>
      <c r="D209" s="380"/>
      <c r="E209" s="381"/>
      <c r="F209" s="175"/>
      <c r="G209" s="309">
        <f t="shared" si="33"/>
        <v>0</v>
      </c>
      <c r="H209" s="382">
        <f t="shared" si="34"/>
        <v>0</v>
      </c>
      <c r="I209" s="382">
        <f t="shared" si="30"/>
        <v>0</v>
      </c>
      <c r="J209" s="160">
        <f>ROUND(F209*(1+'Información general'!$F$10),0)</f>
        <v>0</v>
      </c>
      <c r="K209" s="160">
        <f t="shared" si="35"/>
        <v>0</v>
      </c>
      <c r="L209" s="177">
        <f t="shared" si="31"/>
        <v>0</v>
      </c>
      <c r="M209" s="382">
        <f t="shared" si="32"/>
        <v>0</v>
      </c>
      <c r="N209" s="161">
        <f t="shared" si="36"/>
        <v>0</v>
      </c>
      <c r="O209" s="75"/>
      <c r="P209" s="54">
        <f t="shared" si="37"/>
        <v>0</v>
      </c>
    </row>
    <row r="210" spans="1:16" ht="14.25" hidden="1">
      <c r="A210" s="54">
        <f>IF(J210=0,0,IF(J210&lt;'Información general'!$F$13*2,H210,0))</f>
        <v>0</v>
      </c>
      <c r="B210" s="378"/>
      <c r="C210" s="174"/>
      <c r="D210" s="380"/>
      <c r="E210" s="381"/>
      <c r="F210" s="175"/>
      <c r="G210" s="309">
        <f t="shared" si="33"/>
        <v>0</v>
      </c>
      <c r="H210" s="382">
        <f t="shared" si="34"/>
        <v>0</v>
      </c>
      <c r="I210" s="382">
        <f t="shared" si="30"/>
        <v>0</v>
      </c>
      <c r="J210" s="160">
        <f>ROUND(F210*(1+'Información general'!$F$10),0)</f>
        <v>0</v>
      </c>
      <c r="K210" s="160">
        <f t="shared" si="35"/>
        <v>0</v>
      </c>
      <c r="L210" s="177">
        <f t="shared" si="31"/>
        <v>0</v>
      </c>
      <c r="M210" s="382">
        <f t="shared" si="32"/>
        <v>0</v>
      </c>
      <c r="N210" s="161">
        <f t="shared" si="36"/>
        <v>0</v>
      </c>
      <c r="O210" s="75"/>
      <c r="P210" s="54">
        <f t="shared" si="37"/>
        <v>0</v>
      </c>
    </row>
    <row r="211" spans="1:16" ht="14.25" hidden="1">
      <c r="A211" s="54">
        <f>IF(J211=0,0,IF(J211&lt;'Información general'!$F$13*2,H211,0))</f>
        <v>0</v>
      </c>
      <c r="B211" s="378"/>
      <c r="C211" s="174"/>
      <c r="D211" s="380"/>
      <c r="E211" s="381"/>
      <c r="F211" s="175"/>
      <c r="G211" s="309">
        <f t="shared" si="33"/>
        <v>0</v>
      </c>
      <c r="H211" s="382">
        <f t="shared" si="34"/>
        <v>0</v>
      </c>
      <c r="I211" s="382">
        <f t="shared" si="30"/>
        <v>0</v>
      </c>
      <c r="J211" s="160">
        <f>ROUND(F211*(1+'Información general'!$F$10),0)</f>
        <v>0</v>
      </c>
      <c r="K211" s="160">
        <f t="shared" si="35"/>
        <v>0</v>
      </c>
      <c r="L211" s="177">
        <f t="shared" si="31"/>
        <v>0</v>
      </c>
      <c r="M211" s="382">
        <f t="shared" si="32"/>
        <v>0</v>
      </c>
      <c r="N211" s="161">
        <f t="shared" si="36"/>
        <v>0</v>
      </c>
      <c r="O211" s="75"/>
      <c r="P211" s="54">
        <f t="shared" si="37"/>
        <v>0</v>
      </c>
    </row>
    <row r="212" spans="1:16" ht="14.25" hidden="1">
      <c r="A212" s="54">
        <f>IF(J212=0,0,IF(J212&lt;'Información general'!$F$13*2,H212,0))</f>
        <v>0</v>
      </c>
      <c r="B212" s="378"/>
      <c r="C212" s="174"/>
      <c r="D212" s="380"/>
      <c r="E212" s="381"/>
      <c r="F212" s="175"/>
      <c r="G212" s="309">
        <f t="shared" si="33"/>
        <v>0</v>
      </c>
      <c r="H212" s="382">
        <f t="shared" si="34"/>
        <v>0</v>
      </c>
      <c r="I212" s="382">
        <f t="shared" si="30"/>
        <v>0</v>
      </c>
      <c r="J212" s="160">
        <f>ROUND(F212*(1+'Información general'!$F$10),0)</f>
        <v>0</v>
      </c>
      <c r="K212" s="160">
        <f t="shared" si="35"/>
        <v>0</v>
      </c>
      <c r="L212" s="177">
        <f t="shared" si="31"/>
        <v>0</v>
      </c>
      <c r="M212" s="382">
        <f t="shared" si="32"/>
        <v>0</v>
      </c>
      <c r="N212" s="161">
        <f t="shared" si="36"/>
        <v>0</v>
      </c>
      <c r="O212" s="75"/>
      <c r="P212" s="54">
        <f t="shared" si="37"/>
        <v>0</v>
      </c>
    </row>
    <row r="213" spans="1:16" ht="14.25" hidden="1">
      <c r="A213" s="54">
        <f>IF(J213=0,0,IF(J213&lt;'Información general'!$F$13*2,H213,0))</f>
        <v>0</v>
      </c>
      <c r="B213" s="378"/>
      <c r="C213" s="174"/>
      <c r="D213" s="380"/>
      <c r="E213" s="381"/>
      <c r="F213" s="175"/>
      <c r="G213" s="309">
        <f t="shared" si="33"/>
        <v>0</v>
      </c>
      <c r="H213" s="382">
        <f t="shared" si="34"/>
        <v>0</v>
      </c>
      <c r="I213" s="382">
        <f t="shared" si="30"/>
        <v>0</v>
      </c>
      <c r="J213" s="160">
        <f>ROUND(F213*(1+'Información general'!$F$10),0)</f>
        <v>0</v>
      </c>
      <c r="K213" s="160">
        <f t="shared" si="35"/>
        <v>0</v>
      </c>
      <c r="L213" s="177">
        <f t="shared" si="31"/>
        <v>0</v>
      </c>
      <c r="M213" s="382">
        <f t="shared" si="32"/>
        <v>0</v>
      </c>
      <c r="N213" s="161">
        <f t="shared" si="36"/>
        <v>0</v>
      </c>
      <c r="O213" s="75"/>
      <c r="P213" s="54">
        <f t="shared" si="37"/>
        <v>0</v>
      </c>
    </row>
    <row r="214" spans="1:16" ht="14.25" hidden="1">
      <c r="A214" s="54">
        <f>IF(J214=0,0,IF(J214&lt;'Información general'!$F$13*2,H214,0))</f>
        <v>0</v>
      </c>
      <c r="B214" s="378"/>
      <c r="C214" s="174"/>
      <c r="D214" s="380"/>
      <c r="E214" s="381"/>
      <c r="F214" s="175"/>
      <c r="G214" s="309">
        <f t="shared" si="33"/>
        <v>0</v>
      </c>
      <c r="H214" s="382">
        <f t="shared" si="34"/>
        <v>0</v>
      </c>
      <c r="I214" s="382">
        <f t="shared" si="30"/>
        <v>0</v>
      </c>
      <c r="J214" s="160">
        <f>ROUND(F214*(1+'Información general'!$F$10),0)</f>
        <v>0</v>
      </c>
      <c r="K214" s="160">
        <f t="shared" si="35"/>
        <v>0</v>
      </c>
      <c r="L214" s="177">
        <f t="shared" si="31"/>
        <v>0</v>
      </c>
      <c r="M214" s="382">
        <f t="shared" si="32"/>
        <v>0</v>
      </c>
      <c r="N214" s="161">
        <f t="shared" si="36"/>
        <v>0</v>
      </c>
      <c r="O214" s="75"/>
      <c r="P214" s="54">
        <f t="shared" si="37"/>
        <v>0</v>
      </c>
    </row>
    <row r="215" spans="1:16" ht="14.25" hidden="1">
      <c r="A215" s="54">
        <f>IF(J215=0,0,IF(J215&lt;'Información general'!$F$13*2,H215,0))</f>
        <v>0</v>
      </c>
      <c r="B215" s="378"/>
      <c r="C215" s="174"/>
      <c r="D215" s="380"/>
      <c r="E215" s="381"/>
      <c r="F215" s="175"/>
      <c r="G215" s="309">
        <f t="shared" si="33"/>
        <v>0</v>
      </c>
      <c r="H215" s="382">
        <f t="shared" si="34"/>
        <v>0</v>
      </c>
      <c r="I215" s="382">
        <f t="shared" si="30"/>
        <v>0</v>
      </c>
      <c r="J215" s="160">
        <f>ROUND(F215*(1+'Información general'!$F$10),0)</f>
        <v>0</v>
      </c>
      <c r="K215" s="160">
        <f t="shared" si="35"/>
        <v>0</v>
      </c>
      <c r="L215" s="177">
        <f t="shared" si="31"/>
        <v>0</v>
      </c>
      <c r="M215" s="382">
        <f t="shared" si="32"/>
        <v>0</v>
      </c>
      <c r="N215" s="161">
        <f t="shared" si="36"/>
        <v>0</v>
      </c>
      <c r="O215" s="75"/>
      <c r="P215" s="54">
        <f t="shared" si="37"/>
        <v>0</v>
      </c>
    </row>
    <row r="216" spans="1:16" ht="14.25" hidden="1">
      <c r="A216" s="54">
        <f>IF(J216=0,0,IF(J216&lt;'Información general'!$F$13*2,H216,0))</f>
        <v>0</v>
      </c>
      <c r="B216" s="378"/>
      <c r="C216" s="174"/>
      <c r="D216" s="380"/>
      <c r="E216" s="381"/>
      <c r="F216" s="175"/>
      <c r="G216" s="309">
        <f t="shared" si="33"/>
        <v>0</v>
      </c>
      <c r="H216" s="382">
        <f t="shared" si="34"/>
        <v>0</v>
      </c>
      <c r="I216" s="382">
        <f t="shared" si="30"/>
        <v>0</v>
      </c>
      <c r="J216" s="160">
        <f>ROUND(F216*(1+'Información general'!$F$10),0)</f>
        <v>0</v>
      </c>
      <c r="K216" s="160">
        <f t="shared" si="35"/>
        <v>0</v>
      </c>
      <c r="L216" s="177">
        <f t="shared" si="31"/>
        <v>0</v>
      </c>
      <c r="M216" s="382">
        <f t="shared" si="32"/>
        <v>0</v>
      </c>
      <c r="N216" s="161">
        <f t="shared" si="36"/>
        <v>0</v>
      </c>
      <c r="O216" s="75"/>
      <c r="P216" s="54">
        <f t="shared" si="37"/>
        <v>0</v>
      </c>
    </row>
    <row r="217" spans="1:16" ht="14.25" hidden="1">
      <c r="A217" s="54">
        <f>IF(J217=0,0,IF(J217&lt;'Información general'!$F$13*2,H217,0))</f>
        <v>0</v>
      </c>
      <c r="B217" s="378"/>
      <c r="C217" s="174"/>
      <c r="D217" s="380"/>
      <c r="E217" s="381"/>
      <c r="F217" s="175"/>
      <c r="G217" s="309">
        <f t="shared" si="33"/>
        <v>0</v>
      </c>
      <c r="H217" s="382">
        <f t="shared" si="34"/>
        <v>0</v>
      </c>
      <c r="I217" s="382">
        <f t="shared" si="30"/>
        <v>0</v>
      </c>
      <c r="J217" s="160">
        <f>ROUND(F217*(1+'Información general'!$F$10),0)</f>
        <v>0</v>
      </c>
      <c r="K217" s="160">
        <f t="shared" si="35"/>
        <v>0</v>
      </c>
      <c r="L217" s="177">
        <f t="shared" si="31"/>
        <v>0</v>
      </c>
      <c r="M217" s="382">
        <f t="shared" si="32"/>
        <v>0</v>
      </c>
      <c r="N217" s="161">
        <f t="shared" si="36"/>
        <v>0</v>
      </c>
      <c r="O217" s="75"/>
      <c r="P217" s="54">
        <f t="shared" si="37"/>
        <v>0</v>
      </c>
    </row>
    <row r="218" spans="1:16" ht="14.25" hidden="1">
      <c r="A218" s="54">
        <f>IF(J218=0,0,IF(J218&lt;'Información general'!$F$13*2,H218,0))</f>
        <v>0</v>
      </c>
      <c r="B218" s="378"/>
      <c r="C218" s="174"/>
      <c r="D218" s="380"/>
      <c r="E218" s="381"/>
      <c r="F218" s="175"/>
      <c r="G218" s="309">
        <f t="shared" si="33"/>
        <v>0</v>
      </c>
      <c r="H218" s="382">
        <f t="shared" si="34"/>
        <v>0</v>
      </c>
      <c r="I218" s="382">
        <f t="shared" si="30"/>
        <v>0</v>
      </c>
      <c r="J218" s="160">
        <f>ROUND(F218*(1+'Información general'!$F$10),0)</f>
        <v>0</v>
      </c>
      <c r="K218" s="160">
        <f t="shared" si="35"/>
        <v>0</v>
      </c>
      <c r="L218" s="177">
        <f t="shared" si="31"/>
        <v>0</v>
      </c>
      <c r="M218" s="382">
        <f t="shared" si="32"/>
        <v>0</v>
      </c>
      <c r="N218" s="161">
        <f t="shared" si="36"/>
        <v>0</v>
      </c>
      <c r="O218" s="75"/>
      <c r="P218" s="54">
        <f t="shared" si="37"/>
        <v>0</v>
      </c>
    </row>
    <row r="219" spans="1:16" ht="14.25" hidden="1">
      <c r="A219" s="54">
        <f>IF(J219=0,0,IF(J219&lt;'Información general'!$F$13*2,H219,0))</f>
        <v>0</v>
      </c>
      <c r="B219" s="378"/>
      <c r="C219" s="174"/>
      <c r="D219" s="380"/>
      <c r="E219" s="381"/>
      <c r="F219" s="175"/>
      <c r="G219" s="309">
        <f t="shared" si="33"/>
        <v>0</v>
      </c>
      <c r="H219" s="382">
        <f t="shared" si="34"/>
        <v>0</v>
      </c>
      <c r="I219" s="382">
        <f t="shared" si="30"/>
        <v>0</v>
      </c>
      <c r="J219" s="160">
        <f>ROUND(F219*(1+'Información general'!$F$10),0)</f>
        <v>0</v>
      </c>
      <c r="K219" s="160">
        <f t="shared" si="35"/>
        <v>0</v>
      </c>
      <c r="L219" s="177">
        <f t="shared" si="31"/>
        <v>0</v>
      </c>
      <c r="M219" s="382">
        <f t="shared" si="32"/>
        <v>0</v>
      </c>
      <c r="N219" s="161">
        <f t="shared" si="36"/>
        <v>0</v>
      </c>
      <c r="O219" s="75"/>
      <c r="P219" s="54">
        <f t="shared" si="37"/>
        <v>0</v>
      </c>
    </row>
    <row r="220" spans="1:16" ht="14.25" hidden="1">
      <c r="A220" s="54">
        <f>IF(J220=0,0,IF(J220&lt;'Información general'!$F$13*2,H220,0))</f>
        <v>0</v>
      </c>
      <c r="B220" s="378"/>
      <c r="C220" s="174"/>
      <c r="D220" s="380"/>
      <c r="E220" s="381"/>
      <c r="F220" s="175"/>
      <c r="G220" s="309">
        <f t="shared" si="33"/>
        <v>0</v>
      </c>
      <c r="H220" s="382">
        <f t="shared" si="34"/>
        <v>0</v>
      </c>
      <c r="I220" s="382">
        <f t="shared" si="30"/>
        <v>0</v>
      </c>
      <c r="J220" s="160">
        <f>ROUND(F220*(1+'Información general'!$F$10),0)</f>
        <v>0</v>
      </c>
      <c r="K220" s="160">
        <f t="shared" si="35"/>
        <v>0</v>
      </c>
      <c r="L220" s="177">
        <f t="shared" si="31"/>
        <v>0</v>
      </c>
      <c r="M220" s="382">
        <f t="shared" si="32"/>
        <v>0</v>
      </c>
      <c r="N220" s="161">
        <f t="shared" si="36"/>
        <v>0</v>
      </c>
      <c r="O220" s="75"/>
      <c r="P220" s="54">
        <f t="shared" si="37"/>
        <v>0</v>
      </c>
    </row>
    <row r="221" spans="1:16" ht="14.25" hidden="1">
      <c r="A221" s="54">
        <f>IF(J221=0,0,IF(J221&lt;'Información general'!$F$13*2,H221,0))</f>
        <v>0</v>
      </c>
      <c r="B221" s="378"/>
      <c r="C221" s="174"/>
      <c r="D221" s="380"/>
      <c r="E221" s="381"/>
      <c r="F221" s="175"/>
      <c r="G221" s="309">
        <f t="shared" si="33"/>
        <v>0</v>
      </c>
      <c r="H221" s="382">
        <f t="shared" si="34"/>
        <v>0</v>
      </c>
      <c r="I221" s="382">
        <f t="shared" si="30"/>
        <v>0</v>
      </c>
      <c r="J221" s="160">
        <f>ROUND(F221*(1+'Información general'!$F$10),0)</f>
        <v>0</v>
      </c>
      <c r="K221" s="160">
        <f t="shared" si="35"/>
        <v>0</v>
      </c>
      <c r="L221" s="177">
        <f t="shared" si="31"/>
        <v>0</v>
      </c>
      <c r="M221" s="382">
        <f t="shared" si="32"/>
        <v>0</v>
      </c>
      <c r="N221" s="161">
        <f t="shared" si="36"/>
        <v>0</v>
      </c>
      <c r="O221" s="75"/>
      <c r="P221" s="54">
        <f t="shared" si="37"/>
        <v>0</v>
      </c>
    </row>
    <row r="222" spans="1:16" ht="14.25" hidden="1">
      <c r="A222" s="54">
        <f>IF(J222=0,0,IF(J222&lt;'Información general'!$F$13*2,H222,0))</f>
        <v>0</v>
      </c>
      <c r="B222" s="378"/>
      <c r="C222" s="174"/>
      <c r="D222" s="380"/>
      <c r="E222" s="381"/>
      <c r="F222" s="175"/>
      <c r="G222" s="309">
        <f t="shared" si="33"/>
        <v>0</v>
      </c>
      <c r="H222" s="382">
        <f t="shared" si="34"/>
        <v>0</v>
      </c>
      <c r="I222" s="382">
        <f t="shared" si="30"/>
        <v>0</v>
      </c>
      <c r="J222" s="160">
        <f>ROUND(F222*(1+'Información general'!$F$10),0)</f>
        <v>0</v>
      </c>
      <c r="K222" s="160">
        <f t="shared" si="35"/>
        <v>0</v>
      </c>
      <c r="L222" s="177">
        <f t="shared" si="31"/>
        <v>0</v>
      </c>
      <c r="M222" s="382">
        <f t="shared" si="32"/>
        <v>0</v>
      </c>
      <c r="N222" s="161">
        <f t="shared" si="36"/>
        <v>0</v>
      </c>
      <c r="O222" s="75"/>
      <c r="P222" s="54">
        <f t="shared" si="37"/>
        <v>0</v>
      </c>
    </row>
    <row r="223" spans="1:16" ht="14.25" hidden="1">
      <c r="A223" s="54">
        <f>IF(J223=0,0,IF(J223&lt;'Información general'!$F$13*2,H223,0))</f>
        <v>0</v>
      </c>
      <c r="B223" s="378"/>
      <c r="C223" s="174"/>
      <c r="D223" s="380"/>
      <c r="E223" s="381"/>
      <c r="F223" s="175"/>
      <c r="G223" s="309">
        <f t="shared" si="33"/>
        <v>0</v>
      </c>
      <c r="H223" s="382">
        <f t="shared" si="34"/>
        <v>0</v>
      </c>
      <c r="I223" s="382">
        <f t="shared" si="30"/>
        <v>0</v>
      </c>
      <c r="J223" s="160">
        <f>ROUND(F223*(1+'Información general'!$F$10),0)</f>
        <v>0</v>
      </c>
      <c r="K223" s="160">
        <f t="shared" si="35"/>
        <v>0</v>
      </c>
      <c r="L223" s="177">
        <f t="shared" si="31"/>
        <v>0</v>
      </c>
      <c r="M223" s="382">
        <f t="shared" si="32"/>
        <v>0</v>
      </c>
      <c r="N223" s="161">
        <f t="shared" si="36"/>
        <v>0</v>
      </c>
      <c r="O223" s="75"/>
      <c r="P223" s="54">
        <f t="shared" si="37"/>
        <v>0</v>
      </c>
    </row>
    <row r="224" spans="1:16" ht="14.25" hidden="1">
      <c r="A224" s="54">
        <f>IF(J224=0,0,IF(J224&lt;'Información general'!$F$13*2,H224,0))</f>
        <v>0</v>
      </c>
      <c r="B224" s="378"/>
      <c r="C224" s="174"/>
      <c r="D224" s="380"/>
      <c r="E224" s="381"/>
      <c r="F224" s="175"/>
      <c r="G224" s="309">
        <f t="shared" si="33"/>
        <v>0</v>
      </c>
      <c r="H224" s="382">
        <f t="shared" si="34"/>
        <v>0</v>
      </c>
      <c r="I224" s="382">
        <f t="shared" si="30"/>
        <v>0</v>
      </c>
      <c r="J224" s="160">
        <f>ROUND(F224*(1+'Información general'!$F$10),0)</f>
        <v>0</v>
      </c>
      <c r="K224" s="160">
        <f t="shared" si="35"/>
        <v>0</v>
      </c>
      <c r="L224" s="177">
        <f t="shared" si="31"/>
        <v>0</v>
      </c>
      <c r="M224" s="382">
        <f t="shared" si="32"/>
        <v>0</v>
      </c>
      <c r="N224" s="161">
        <f t="shared" si="36"/>
        <v>0</v>
      </c>
      <c r="O224" s="75"/>
      <c r="P224" s="54">
        <f t="shared" si="37"/>
        <v>0</v>
      </c>
    </row>
    <row r="225" spans="1:16" ht="14.25" hidden="1">
      <c r="A225" s="54">
        <f>IF(J225=0,0,IF(J225&lt;'Información general'!$F$13*2,H225,0))</f>
        <v>0</v>
      </c>
      <c r="B225" s="378"/>
      <c r="C225" s="174"/>
      <c r="D225" s="380"/>
      <c r="E225" s="381"/>
      <c r="F225" s="175"/>
      <c r="G225" s="309">
        <f t="shared" si="33"/>
        <v>0</v>
      </c>
      <c r="H225" s="382">
        <f t="shared" si="34"/>
        <v>0</v>
      </c>
      <c r="I225" s="382">
        <f t="shared" si="30"/>
        <v>0</v>
      </c>
      <c r="J225" s="160">
        <f>ROUND(F225*(1+'Información general'!$F$10),0)</f>
        <v>0</v>
      </c>
      <c r="K225" s="160">
        <f t="shared" si="35"/>
        <v>0</v>
      </c>
      <c r="L225" s="177">
        <f t="shared" si="31"/>
        <v>0</v>
      </c>
      <c r="M225" s="382">
        <f t="shared" si="32"/>
        <v>0</v>
      </c>
      <c r="N225" s="161">
        <f t="shared" si="36"/>
        <v>0</v>
      </c>
      <c r="O225" s="75"/>
      <c r="P225" s="54">
        <f t="shared" si="37"/>
        <v>0</v>
      </c>
    </row>
    <row r="226" spans="1:16" ht="14.25" hidden="1">
      <c r="A226" s="54">
        <f>IF(J226=0,0,IF(J226&lt;'Información general'!$F$13*2,H226,0))</f>
        <v>0</v>
      </c>
      <c r="B226" s="378"/>
      <c r="C226" s="174"/>
      <c r="D226" s="380"/>
      <c r="E226" s="381"/>
      <c r="F226" s="175"/>
      <c r="G226" s="309">
        <f t="shared" si="33"/>
        <v>0</v>
      </c>
      <c r="H226" s="382">
        <f t="shared" si="34"/>
        <v>0</v>
      </c>
      <c r="I226" s="382">
        <f t="shared" si="30"/>
        <v>0</v>
      </c>
      <c r="J226" s="160">
        <f>ROUND(F226*(1+'Información general'!$F$10),0)</f>
        <v>0</v>
      </c>
      <c r="K226" s="160">
        <f t="shared" si="35"/>
        <v>0</v>
      </c>
      <c r="L226" s="177">
        <f t="shared" si="31"/>
        <v>0</v>
      </c>
      <c r="M226" s="382">
        <f t="shared" si="32"/>
        <v>0</v>
      </c>
      <c r="N226" s="161">
        <f t="shared" si="36"/>
        <v>0</v>
      </c>
      <c r="O226" s="75"/>
      <c r="P226" s="54">
        <f t="shared" si="37"/>
        <v>0</v>
      </c>
    </row>
    <row r="227" spans="1:16" ht="14.25" hidden="1">
      <c r="A227" s="54">
        <f>IF(J227=0,0,IF(J227&lt;'Información general'!$F$13*2,H227,0))</f>
        <v>0</v>
      </c>
      <c r="B227" s="378"/>
      <c r="C227" s="174"/>
      <c r="D227" s="380"/>
      <c r="E227" s="381"/>
      <c r="F227" s="175"/>
      <c r="G227" s="309">
        <f t="shared" si="33"/>
        <v>0</v>
      </c>
      <c r="H227" s="382">
        <f t="shared" si="34"/>
        <v>0</v>
      </c>
      <c r="I227" s="382">
        <f t="shared" si="30"/>
        <v>0</v>
      </c>
      <c r="J227" s="160">
        <f>ROUND(F227*(1+'Información general'!$F$10),0)</f>
        <v>0</v>
      </c>
      <c r="K227" s="160">
        <f t="shared" si="35"/>
        <v>0</v>
      </c>
      <c r="L227" s="177">
        <f t="shared" si="31"/>
        <v>0</v>
      </c>
      <c r="M227" s="382">
        <f t="shared" si="32"/>
        <v>0</v>
      </c>
      <c r="N227" s="161">
        <f t="shared" si="36"/>
        <v>0</v>
      </c>
      <c r="O227" s="75"/>
      <c r="P227" s="54">
        <f t="shared" si="37"/>
        <v>0</v>
      </c>
    </row>
    <row r="228" spans="1:16" ht="14.25" hidden="1">
      <c r="A228" s="54">
        <f>IF(J228=0,0,IF(J228&lt;'Información general'!$F$13*2,H228,0))</f>
        <v>0</v>
      </c>
      <c r="B228" s="378"/>
      <c r="C228" s="174"/>
      <c r="D228" s="380"/>
      <c r="E228" s="381"/>
      <c r="F228" s="175"/>
      <c r="G228" s="309">
        <f t="shared" si="33"/>
        <v>0</v>
      </c>
      <c r="H228" s="382">
        <f t="shared" si="34"/>
        <v>0</v>
      </c>
      <c r="I228" s="382">
        <f t="shared" si="30"/>
        <v>0</v>
      </c>
      <c r="J228" s="160">
        <f>ROUND(F228*(1+'Información general'!$F$10),0)</f>
        <v>0</v>
      </c>
      <c r="K228" s="160">
        <f t="shared" si="35"/>
        <v>0</v>
      </c>
      <c r="L228" s="177">
        <f t="shared" si="31"/>
        <v>0</v>
      </c>
      <c r="M228" s="382">
        <f t="shared" si="32"/>
        <v>0</v>
      </c>
      <c r="N228" s="161">
        <f t="shared" si="36"/>
        <v>0</v>
      </c>
      <c r="O228" s="75"/>
      <c r="P228" s="54">
        <f t="shared" si="37"/>
        <v>0</v>
      </c>
    </row>
    <row r="229" spans="1:16" ht="14.25" hidden="1">
      <c r="A229" s="54">
        <f>IF(J229=0,0,IF(J229&lt;'Información general'!$F$13*2,H229,0))</f>
        <v>0</v>
      </c>
      <c r="B229" s="378"/>
      <c r="C229" s="174"/>
      <c r="D229" s="380"/>
      <c r="E229" s="381"/>
      <c r="F229" s="175"/>
      <c r="G229" s="309">
        <f t="shared" si="33"/>
        <v>0</v>
      </c>
      <c r="H229" s="382">
        <f t="shared" si="34"/>
        <v>0</v>
      </c>
      <c r="I229" s="382">
        <f t="shared" si="30"/>
        <v>0</v>
      </c>
      <c r="J229" s="160">
        <f>ROUND(F229*(1+'Información general'!$F$10),0)</f>
        <v>0</v>
      </c>
      <c r="K229" s="160">
        <f t="shared" si="35"/>
        <v>0</v>
      </c>
      <c r="L229" s="177">
        <f t="shared" si="31"/>
        <v>0</v>
      </c>
      <c r="M229" s="382">
        <f t="shared" si="32"/>
        <v>0</v>
      </c>
      <c r="N229" s="161">
        <f t="shared" si="36"/>
        <v>0</v>
      </c>
      <c r="O229" s="75"/>
      <c r="P229" s="54">
        <f t="shared" si="37"/>
        <v>0</v>
      </c>
    </row>
    <row r="230" spans="1:16" ht="14.25" hidden="1">
      <c r="A230" s="54">
        <f>IF(J230=0,0,IF(J230&lt;'Información general'!$F$13*2,H230,0))</f>
        <v>0</v>
      </c>
      <c r="B230" s="378"/>
      <c r="C230" s="174"/>
      <c r="D230" s="380"/>
      <c r="E230" s="381"/>
      <c r="F230" s="175"/>
      <c r="G230" s="309">
        <f t="shared" si="33"/>
        <v>0</v>
      </c>
      <c r="H230" s="382">
        <f t="shared" si="34"/>
        <v>0</v>
      </c>
      <c r="I230" s="382">
        <f t="shared" si="30"/>
        <v>0</v>
      </c>
      <c r="J230" s="160">
        <f>ROUND(F230*(1+'Información general'!$F$10),0)</f>
        <v>0</v>
      </c>
      <c r="K230" s="160">
        <f t="shared" si="35"/>
        <v>0</v>
      </c>
      <c r="L230" s="177">
        <f t="shared" si="31"/>
        <v>0</v>
      </c>
      <c r="M230" s="382">
        <f t="shared" si="32"/>
        <v>0</v>
      </c>
      <c r="N230" s="161">
        <f t="shared" si="36"/>
        <v>0</v>
      </c>
      <c r="O230" s="75"/>
      <c r="P230" s="54">
        <f t="shared" si="37"/>
        <v>0</v>
      </c>
    </row>
    <row r="231" spans="1:16" ht="14.25" hidden="1">
      <c r="A231" s="54">
        <f>IF(J231=0,0,IF(J231&lt;'Información general'!$F$13*2,H231,0))</f>
        <v>0</v>
      </c>
      <c r="B231" s="378"/>
      <c r="C231" s="174"/>
      <c r="D231" s="380"/>
      <c r="E231" s="381"/>
      <c r="F231" s="175"/>
      <c r="G231" s="309">
        <f t="shared" si="33"/>
        <v>0</v>
      </c>
      <c r="H231" s="382">
        <f t="shared" si="34"/>
        <v>0</v>
      </c>
      <c r="I231" s="382">
        <f t="shared" si="30"/>
        <v>0</v>
      </c>
      <c r="J231" s="160">
        <f>ROUND(F231*(1+'Información general'!$F$10),0)</f>
        <v>0</v>
      </c>
      <c r="K231" s="160">
        <f t="shared" si="35"/>
        <v>0</v>
      </c>
      <c r="L231" s="177">
        <f t="shared" si="31"/>
        <v>0</v>
      </c>
      <c r="M231" s="382">
        <f t="shared" si="32"/>
        <v>0</v>
      </c>
      <c r="N231" s="161">
        <f t="shared" si="36"/>
        <v>0</v>
      </c>
      <c r="O231" s="75"/>
      <c r="P231" s="54">
        <f t="shared" si="37"/>
        <v>0</v>
      </c>
    </row>
    <row r="232" spans="1:16" ht="14.25" hidden="1">
      <c r="A232" s="54">
        <f>IF(J232=0,0,IF(J232&lt;'Información general'!$F$13*2,H232,0))</f>
        <v>0</v>
      </c>
      <c r="B232" s="378"/>
      <c r="C232" s="174"/>
      <c r="D232" s="380"/>
      <c r="E232" s="381"/>
      <c r="F232" s="175"/>
      <c r="G232" s="309">
        <f t="shared" si="33"/>
        <v>0</v>
      </c>
      <c r="H232" s="382">
        <f t="shared" si="34"/>
        <v>0</v>
      </c>
      <c r="I232" s="382">
        <f t="shared" si="30"/>
        <v>0</v>
      </c>
      <c r="J232" s="160">
        <f>ROUND(F232*(1+'Información general'!$F$10),0)</f>
        <v>0</v>
      </c>
      <c r="K232" s="160">
        <f t="shared" si="35"/>
        <v>0</v>
      </c>
      <c r="L232" s="177">
        <f t="shared" si="31"/>
        <v>0</v>
      </c>
      <c r="M232" s="382">
        <f t="shared" si="32"/>
        <v>0</v>
      </c>
      <c r="N232" s="161">
        <f t="shared" si="36"/>
        <v>0</v>
      </c>
      <c r="O232" s="75"/>
      <c r="P232" s="54">
        <f t="shared" si="37"/>
        <v>0</v>
      </c>
    </row>
    <row r="233" spans="1:16" ht="14.25" hidden="1">
      <c r="A233" s="54">
        <f>IF(J233=0,0,IF(J233&lt;'Información general'!$F$13*2,H233,0))</f>
        <v>0</v>
      </c>
      <c r="B233" s="378"/>
      <c r="C233" s="174"/>
      <c r="D233" s="380"/>
      <c r="E233" s="381"/>
      <c r="F233" s="175"/>
      <c r="G233" s="309">
        <f t="shared" si="33"/>
        <v>0</v>
      </c>
      <c r="H233" s="382">
        <f t="shared" si="34"/>
        <v>0</v>
      </c>
      <c r="I233" s="382">
        <f t="shared" si="30"/>
        <v>0</v>
      </c>
      <c r="J233" s="160">
        <f>ROUND(F233*(1+'Información general'!$F$10),0)</f>
        <v>0</v>
      </c>
      <c r="K233" s="160">
        <f t="shared" si="35"/>
        <v>0</v>
      </c>
      <c r="L233" s="177">
        <f t="shared" si="31"/>
        <v>0</v>
      </c>
      <c r="M233" s="382">
        <f t="shared" si="32"/>
        <v>0</v>
      </c>
      <c r="N233" s="161">
        <f t="shared" si="36"/>
        <v>0</v>
      </c>
      <c r="O233" s="75"/>
      <c r="P233" s="54">
        <f t="shared" si="37"/>
        <v>0</v>
      </c>
    </row>
    <row r="234" spans="1:16" ht="14.25" hidden="1">
      <c r="A234" s="54">
        <f>IF(J234=0,0,IF(J234&lt;'Información general'!$F$13*2,H234,0))</f>
        <v>0</v>
      </c>
      <c r="B234" s="378"/>
      <c r="C234" s="174"/>
      <c r="D234" s="380"/>
      <c r="E234" s="381"/>
      <c r="F234" s="175"/>
      <c r="G234" s="309">
        <f t="shared" si="33"/>
        <v>0</v>
      </c>
      <c r="H234" s="382">
        <f t="shared" si="34"/>
        <v>0</v>
      </c>
      <c r="I234" s="382">
        <f t="shared" si="30"/>
        <v>0</v>
      </c>
      <c r="J234" s="160">
        <f>ROUND(F234*(1+'Información general'!$F$10),0)</f>
        <v>0</v>
      </c>
      <c r="K234" s="160">
        <f t="shared" si="35"/>
        <v>0</v>
      </c>
      <c r="L234" s="177">
        <f t="shared" si="31"/>
        <v>0</v>
      </c>
      <c r="M234" s="382">
        <f t="shared" si="32"/>
        <v>0</v>
      </c>
      <c r="N234" s="161">
        <f t="shared" si="36"/>
        <v>0</v>
      </c>
      <c r="O234" s="75"/>
      <c r="P234" s="54">
        <f t="shared" si="37"/>
        <v>0</v>
      </c>
    </row>
    <row r="235" spans="1:16" ht="14.25" hidden="1">
      <c r="A235" s="54">
        <f>IF(J235=0,0,IF(J235&lt;'Información general'!$F$13*2,H235,0))</f>
        <v>0</v>
      </c>
      <c r="B235" s="378"/>
      <c r="C235" s="174"/>
      <c r="D235" s="380"/>
      <c r="E235" s="381"/>
      <c r="F235" s="175"/>
      <c r="G235" s="309">
        <f t="shared" si="33"/>
        <v>0</v>
      </c>
      <c r="H235" s="382">
        <f t="shared" si="34"/>
        <v>0</v>
      </c>
      <c r="I235" s="382">
        <f t="shared" si="30"/>
        <v>0</v>
      </c>
      <c r="J235" s="160">
        <f>ROUND(F235*(1+'Información general'!$F$10),0)</f>
        <v>0</v>
      </c>
      <c r="K235" s="160">
        <f t="shared" si="35"/>
        <v>0</v>
      </c>
      <c r="L235" s="177">
        <f t="shared" si="31"/>
        <v>0</v>
      </c>
      <c r="M235" s="382">
        <f t="shared" si="32"/>
        <v>0</v>
      </c>
      <c r="N235" s="161">
        <f t="shared" si="36"/>
        <v>0</v>
      </c>
      <c r="O235" s="75"/>
      <c r="P235" s="54">
        <f t="shared" si="37"/>
        <v>0</v>
      </c>
    </row>
    <row r="236" spans="1:16" ht="14.25" hidden="1">
      <c r="A236" s="54">
        <f>IF(J236=0,0,IF(J236&lt;'Información general'!$F$13*2,H236,0))</f>
        <v>0</v>
      </c>
      <c r="B236" s="378"/>
      <c r="C236" s="174"/>
      <c r="D236" s="380"/>
      <c r="E236" s="381"/>
      <c r="F236" s="175"/>
      <c r="G236" s="309">
        <f t="shared" si="33"/>
        <v>0</v>
      </c>
      <c r="H236" s="382">
        <f t="shared" si="34"/>
        <v>0</v>
      </c>
      <c r="I236" s="382">
        <f t="shared" si="30"/>
        <v>0</v>
      </c>
      <c r="J236" s="160">
        <f>ROUND(F236*(1+'Información general'!$F$10),0)</f>
        <v>0</v>
      </c>
      <c r="K236" s="160">
        <f t="shared" si="35"/>
        <v>0</v>
      </c>
      <c r="L236" s="177">
        <f t="shared" si="31"/>
        <v>0</v>
      </c>
      <c r="M236" s="382">
        <f t="shared" si="32"/>
        <v>0</v>
      </c>
      <c r="N236" s="161">
        <f t="shared" si="36"/>
        <v>0</v>
      </c>
      <c r="O236" s="75"/>
      <c r="P236" s="54">
        <f t="shared" si="37"/>
        <v>0</v>
      </c>
    </row>
    <row r="237" spans="1:16" ht="14.25" hidden="1">
      <c r="A237" s="54">
        <f>IF(J237=0,0,IF(J237&lt;'Información general'!$F$13*2,H237,0))</f>
        <v>0</v>
      </c>
      <c r="B237" s="378"/>
      <c r="C237" s="174"/>
      <c r="D237" s="380"/>
      <c r="E237" s="381"/>
      <c r="F237" s="175"/>
      <c r="G237" s="309">
        <f t="shared" si="33"/>
        <v>0</v>
      </c>
      <c r="H237" s="382">
        <f t="shared" si="34"/>
        <v>0</v>
      </c>
      <c r="I237" s="382">
        <f aca="true" t="shared" si="38" ref="I237:I300">+E237</f>
        <v>0</v>
      </c>
      <c r="J237" s="160">
        <f>ROUND(F237*(1+'Información general'!$F$10),0)</f>
        <v>0</v>
      </c>
      <c r="K237" s="160">
        <f t="shared" si="35"/>
        <v>0</v>
      </c>
      <c r="L237" s="177">
        <f aca="true" t="shared" si="39" ref="L237:L300">IF(H237=0,0,ROUND((IF(G237=0," ",+(J237/F237-1)*100)),3))/100</f>
        <v>0</v>
      </c>
      <c r="M237" s="382">
        <f aca="true" t="shared" si="40" ref="M237:M300">+IF(H237&gt;0,12,0)</f>
        <v>0</v>
      </c>
      <c r="N237" s="161">
        <f t="shared" si="36"/>
        <v>0</v>
      </c>
      <c r="O237" s="75"/>
      <c r="P237" s="54">
        <f t="shared" si="37"/>
        <v>0</v>
      </c>
    </row>
    <row r="238" spans="1:16" ht="14.25" hidden="1">
      <c r="A238" s="54">
        <f>IF(J238=0,0,IF(J238&lt;'Información general'!$F$13*2,H238,0))</f>
        <v>0</v>
      </c>
      <c r="B238" s="378"/>
      <c r="C238" s="174"/>
      <c r="D238" s="380"/>
      <c r="E238" s="381"/>
      <c r="F238" s="175"/>
      <c r="G238" s="309">
        <f aca="true" t="shared" si="41" ref="G238:G301">+D238*F238</f>
        <v>0</v>
      </c>
      <c r="H238" s="382">
        <f aca="true" t="shared" si="42" ref="H238:H301">D238</f>
        <v>0</v>
      </c>
      <c r="I238" s="382">
        <f t="shared" si="38"/>
        <v>0</v>
      </c>
      <c r="J238" s="160">
        <f>ROUND(F238*(1+'Información general'!$F$10),0)</f>
        <v>0</v>
      </c>
      <c r="K238" s="160">
        <f aca="true" t="shared" si="43" ref="K238:K301">+H238*J238</f>
        <v>0</v>
      </c>
      <c r="L238" s="177">
        <f t="shared" si="39"/>
        <v>0</v>
      </c>
      <c r="M238" s="382">
        <f t="shared" si="40"/>
        <v>0</v>
      </c>
      <c r="N238" s="161">
        <f aca="true" t="shared" si="44" ref="N238:N301">+K238*M238</f>
        <v>0</v>
      </c>
      <c r="O238" s="75"/>
      <c r="P238" s="54">
        <f t="shared" si="37"/>
        <v>0</v>
      </c>
    </row>
    <row r="239" spans="1:16" ht="14.25" hidden="1">
      <c r="A239" s="54">
        <f>IF(J239=0,0,IF(J239&lt;'Información general'!$F$13*2,H239,0))</f>
        <v>0</v>
      </c>
      <c r="B239" s="378"/>
      <c r="C239" s="174"/>
      <c r="D239" s="380"/>
      <c r="E239" s="381"/>
      <c r="F239" s="175"/>
      <c r="G239" s="309">
        <f t="shared" si="41"/>
        <v>0</v>
      </c>
      <c r="H239" s="382">
        <f t="shared" si="42"/>
        <v>0</v>
      </c>
      <c r="I239" s="382">
        <f t="shared" si="38"/>
        <v>0</v>
      </c>
      <c r="J239" s="160">
        <f>ROUND(F239*(1+'Información general'!$F$10),0)</f>
        <v>0</v>
      </c>
      <c r="K239" s="160">
        <f t="shared" si="43"/>
        <v>0</v>
      </c>
      <c r="L239" s="177">
        <f t="shared" si="39"/>
        <v>0</v>
      </c>
      <c r="M239" s="382">
        <f t="shared" si="40"/>
        <v>0</v>
      </c>
      <c r="N239" s="161">
        <f t="shared" si="44"/>
        <v>0</v>
      </c>
      <c r="O239" s="75"/>
      <c r="P239" s="54">
        <f t="shared" si="37"/>
        <v>0</v>
      </c>
    </row>
    <row r="240" spans="1:16" ht="14.25" hidden="1">
      <c r="A240" s="54">
        <f>IF(J240=0,0,IF(J240&lt;'Información general'!$F$13*2,H240,0))</f>
        <v>0</v>
      </c>
      <c r="B240" s="378"/>
      <c r="C240" s="174"/>
      <c r="D240" s="380"/>
      <c r="E240" s="381"/>
      <c r="F240" s="175"/>
      <c r="G240" s="309">
        <f t="shared" si="41"/>
        <v>0</v>
      </c>
      <c r="H240" s="382">
        <f t="shared" si="42"/>
        <v>0</v>
      </c>
      <c r="I240" s="382">
        <f t="shared" si="38"/>
        <v>0</v>
      </c>
      <c r="J240" s="160">
        <f>ROUND(F240*(1+'Información general'!$F$10),0)</f>
        <v>0</v>
      </c>
      <c r="K240" s="160">
        <f t="shared" si="43"/>
        <v>0</v>
      </c>
      <c r="L240" s="177">
        <f t="shared" si="39"/>
        <v>0</v>
      </c>
      <c r="M240" s="382">
        <f t="shared" si="40"/>
        <v>0</v>
      </c>
      <c r="N240" s="161">
        <f t="shared" si="44"/>
        <v>0</v>
      </c>
      <c r="O240" s="75"/>
      <c r="P240" s="54">
        <f t="shared" si="37"/>
        <v>0</v>
      </c>
    </row>
    <row r="241" spans="1:16" ht="14.25" hidden="1">
      <c r="A241" s="54">
        <f>IF(J241=0,0,IF(J241&lt;'Información general'!$F$13*2,H241,0))</f>
        <v>0</v>
      </c>
      <c r="B241" s="378"/>
      <c r="C241" s="174"/>
      <c r="D241" s="380"/>
      <c r="E241" s="381"/>
      <c r="F241" s="175"/>
      <c r="G241" s="309">
        <f t="shared" si="41"/>
        <v>0</v>
      </c>
      <c r="H241" s="382">
        <f t="shared" si="42"/>
        <v>0</v>
      </c>
      <c r="I241" s="382">
        <f t="shared" si="38"/>
        <v>0</v>
      </c>
      <c r="J241" s="160">
        <f>ROUND(F241*(1+'Información general'!$F$10),0)</f>
        <v>0</v>
      </c>
      <c r="K241" s="160">
        <f t="shared" si="43"/>
        <v>0</v>
      </c>
      <c r="L241" s="177">
        <f t="shared" si="39"/>
        <v>0</v>
      </c>
      <c r="M241" s="382">
        <f t="shared" si="40"/>
        <v>0</v>
      </c>
      <c r="N241" s="161">
        <f t="shared" si="44"/>
        <v>0</v>
      </c>
      <c r="O241" s="75"/>
      <c r="P241" s="54">
        <f t="shared" si="37"/>
        <v>0</v>
      </c>
    </row>
    <row r="242" spans="1:16" ht="14.25" hidden="1">
      <c r="A242" s="54">
        <f>IF(J242=0,0,IF(J242&lt;'Información general'!$F$13*2,H242,0))</f>
        <v>0</v>
      </c>
      <c r="B242" s="378"/>
      <c r="C242" s="174"/>
      <c r="D242" s="380"/>
      <c r="E242" s="381"/>
      <c r="F242" s="175"/>
      <c r="G242" s="309">
        <f t="shared" si="41"/>
        <v>0</v>
      </c>
      <c r="H242" s="382">
        <f t="shared" si="42"/>
        <v>0</v>
      </c>
      <c r="I242" s="382">
        <f t="shared" si="38"/>
        <v>0</v>
      </c>
      <c r="J242" s="160">
        <f>ROUND(F242*(1+'Información general'!$F$10),0)</f>
        <v>0</v>
      </c>
      <c r="K242" s="160">
        <f t="shared" si="43"/>
        <v>0</v>
      </c>
      <c r="L242" s="177">
        <f t="shared" si="39"/>
        <v>0</v>
      </c>
      <c r="M242" s="382">
        <f t="shared" si="40"/>
        <v>0</v>
      </c>
      <c r="N242" s="161">
        <f t="shared" si="44"/>
        <v>0</v>
      </c>
      <c r="O242" s="75"/>
      <c r="P242" s="54">
        <f t="shared" si="37"/>
        <v>0</v>
      </c>
    </row>
    <row r="243" spans="1:16" ht="14.25" hidden="1">
      <c r="A243" s="54">
        <f>IF(J243=0,0,IF(J243&lt;'Información general'!$F$13*2,H243,0))</f>
        <v>0</v>
      </c>
      <c r="B243" s="378"/>
      <c r="C243" s="174"/>
      <c r="D243" s="380"/>
      <c r="E243" s="381"/>
      <c r="F243" s="175"/>
      <c r="G243" s="309">
        <f t="shared" si="41"/>
        <v>0</v>
      </c>
      <c r="H243" s="382">
        <f t="shared" si="42"/>
        <v>0</v>
      </c>
      <c r="I243" s="382">
        <f t="shared" si="38"/>
        <v>0</v>
      </c>
      <c r="J243" s="160">
        <f>ROUND(F243*(1+'Información general'!$F$10),0)</f>
        <v>0</v>
      </c>
      <c r="K243" s="160">
        <f t="shared" si="43"/>
        <v>0</v>
      </c>
      <c r="L243" s="177">
        <f t="shared" si="39"/>
        <v>0</v>
      </c>
      <c r="M243" s="382">
        <f t="shared" si="40"/>
        <v>0</v>
      </c>
      <c r="N243" s="161">
        <f t="shared" si="44"/>
        <v>0</v>
      </c>
      <c r="O243" s="75"/>
      <c r="P243" s="54">
        <f t="shared" si="37"/>
        <v>0</v>
      </c>
    </row>
    <row r="244" spans="1:16" ht="14.25" hidden="1">
      <c r="A244" s="54">
        <f>IF(J244=0,0,IF(J244&lt;'Información general'!$F$13*2,H244,0))</f>
        <v>0</v>
      </c>
      <c r="B244" s="378"/>
      <c r="C244" s="174"/>
      <c r="D244" s="380"/>
      <c r="E244" s="381"/>
      <c r="F244" s="175"/>
      <c r="G244" s="309">
        <f t="shared" si="41"/>
        <v>0</v>
      </c>
      <c r="H244" s="382">
        <f t="shared" si="42"/>
        <v>0</v>
      </c>
      <c r="I244" s="382">
        <f t="shared" si="38"/>
        <v>0</v>
      </c>
      <c r="J244" s="160">
        <f>ROUND(F244*(1+'Información general'!$F$10),0)</f>
        <v>0</v>
      </c>
      <c r="K244" s="160">
        <f t="shared" si="43"/>
        <v>0</v>
      </c>
      <c r="L244" s="177">
        <f t="shared" si="39"/>
        <v>0</v>
      </c>
      <c r="M244" s="382">
        <f t="shared" si="40"/>
        <v>0</v>
      </c>
      <c r="N244" s="161">
        <f t="shared" si="44"/>
        <v>0</v>
      </c>
      <c r="O244" s="75"/>
      <c r="P244" s="54">
        <f t="shared" si="37"/>
        <v>0</v>
      </c>
    </row>
    <row r="245" spans="1:16" ht="14.25" hidden="1">
      <c r="A245" s="54">
        <f>IF(J245=0,0,IF(J245&lt;'Información general'!$F$13*2,H245,0))</f>
        <v>0</v>
      </c>
      <c r="B245" s="378"/>
      <c r="C245" s="174"/>
      <c r="D245" s="380"/>
      <c r="E245" s="381"/>
      <c r="F245" s="175"/>
      <c r="G245" s="309">
        <f t="shared" si="41"/>
        <v>0</v>
      </c>
      <c r="H245" s="382">
        <f t="shared" si="42"/>
        <v>0</v>
      </c>
      <c r="I245" s="382">
        <f t="shared" si="38"/>
        <v>0</v>
      </c>
      <c r="J245" s="160">
        <f>ROUND(F245*(1+'Información general'!$F$10),0)</f>
        <v>0</v>
      </c>
      <c r="K245" s="160">
        <f t="shared" si="43"/>
        <v>0</v>
      </c>
      <c r="L245" s="177">
        <f t="shared" si="39"/>
        <v>0</v>
      </c>
      <c r="M245" s="382">
        <f t="shared" si="40"/>
        <v>0</v>
      </c>
      <c r="N245" s="161">
        <f t="shared" si="44"/>
        <v>0</v>
      </c>
      <c r="O245" s="75"/>
      <c r="P245" s="54">
        <f t="shared" si="37"/>
        <v>0</v>
      </c>
    </row>
    <row r="246" spans="1:16" ht="14.25" hidden="1">
      <c r="A246" s="54">
        <f>IF(J246=0,0,IF(J246&lt;'Información general'!$F$13*2,H246,0))</f>
        <v>0</v>
      </c>
      <c r="B246" s="378"/>
      <c r="C246" s="174"/>
      <c r="D246" s="380"/>
      <c r="E246" s="381"/>
      <c r="F246" s="175"/>
      <c r="G246" s="309">
        <f t="shared" si="41"/>
        <v>0</v>
      </c>
      <c r="H246" s="382">
        <f t="shared" si="42"/>
        <v>0</v>
      </c>
      <c r="I246" s="382">
        <f t="shared" si="38"/>
        <v>0</v>
      </c>
      <c r="J246" s="160">
        <f>ROUND(F246*(1+'Información general'!$F$10),0)</f>
        <v>0</v>
      </c>
      <c r="K246" s="160">
        <f t="shared" si="43"/>
        <v>0</v>
      </c>
      <c r="L246" s="177">
        <f t="shared" si="39"/>
        <v>0</v>
      </c>
      <c r="M246" s="382">
        <f t="shared" si="40"/>
        <v>0</v>
      </c>
      <c r="N246" s="161">
        <f t="shared" si="44"/>
        <v>0</v>
      </c>
      <c r="O246" s="75"/>
      <c r="P246" s="54">
        <f t="shared" si="37"/>
        <v>0</v>
      </c>
    </row>
    <row r="247" spans="1:16" ht="14.25" hidden="1">
      <c r="A247" s="54">
        <f>IF(J247=0,0,IF(J247&lt;'Información general'!$F$13*2,H247,0))</f>
        <v>0</v>
      </c>
      <c r="B247" s="378"/>
      <c r="C247" s="174"/>
      <c r="D247" s="380"/>
      <c r="E247" s="381"/>
      <c r="F247" s="175"/>
      <c r="G247" s="309">
        <f t="shared" si="41"/>
        <v>0</v>
      </c>
      <c r="H247" s="382">
        <f t="shared" si="42"/>
        <v>0</v>
      </c>
      <c r="I247" s="382">
        <f t="shared" si="38"/>
        <v>0</v>
      </c>
      <c r="J247" s="160">
        <f>ROUND(F247*(1+'Información general'!$F$10),0)</f>
        <v>0</v>
      </c>
      <c r="K247" s="160">
        <f t="shared" si="43"/>
        <v>0</v>
      </c>
      <c r="L247" s="177">
        <f t="shared" si="39"/>
        <v>0</v>
      </c>
      <c r="M247" s="382">
        <f t="shared" si="40"/>
        <v>0</v>
      </c>
      <c r="N247" s="161">
        <f t="shared" si="44"/>
        <v>0</v>
      </c>
      <c r="O247" s="75"/>
      <c r="P247" s="54">
        <f t="shared" si="37"/>
        <v>0</v>
      </c>
    </row>
    <row r="248" spans="1:16" ht="14.25" hidden="1">
      <c r="A248" s="54">
        <f>IF(J248=0,0,IF(J248&lt;'Información general'!$F$13*2,H248,0))</f>
        <v>0</v>
      </c>
      <c r="B248" s="378"/>
      <c r="C248" s="174"/>
      <c r="D248" s="380"/>
      <c r="E248" s="381"/>
      <c r="F248" s="175"/>
      <c r="G248" s="309">
        <f t="shared" si="41"/>
        <v>0</v>
      </c>
      <c r="H248" s="382">
        <f t="shared" si="42"/>
        <v>0</v>
      </c>
      <c r="I248" s="382">
        <f t="shared" si="38"/>
        <v>0</v>
      </c>
      <c r="J248" s="160">
        <f>ROUND(F248*(1+'Información general'!$F$10),0)</f>
        <v>0</v>
      </c>
      <c r="K248" s="160">
        <f t="shared" si="43"/>
        <v>0</v>
      </c>
      <c r="L248" s="177">
        <f t="shared" si="39"/>
        <v>0</v>
      </c>
      <c r="M248" s="382">
        <f t="shared" si="40"/>
        <v>0</v>
      </c>
      <c r="N248" s="161">
        <f t="shared" si="44"/>
        <v>0</v>
      </c>
      <c r="O248" s="75"/>
      <c r="P248" s="54">
        <f t="shared" si="37"/>
        <v>0</v>
      </c>
    </row>
    <row r="249" spans="1:16" ht="14.25" hidden="1">
      <c r="A249" s="54">
        <f>IF(J249=0,0,IF(J249&lt;'Información general'!$F$13*2,H249,0))</f>
        <v>0</v>
      </c>
      <c r="B249" s="378"/>
      <c r="C249" s="174"/>
      <c r="D249" s="380"/>
      <c r="E249" s="381"/>
      <c r="F249" s="175"/>
      <c r="G249" s="309">
        <f t="shared" si="41"/>
        <v>0</v>
      </c>
      <c r="H249" s="382">
        <f t="shared" si="42"/>
        <v>0</v>
      </c>
      <c r="I249" s="382">
        <f t="shared" si="38"/>
        <v>0</v>
      </c>
      <c r="J249" s="160">
        <f>ROUND(F249*(1+'Información general'!$F$10),0)</f>
        <v>0</v>
      </c>
      <c r="K249" s="160">
        <f t="shared" si="43"/>
        <v>0</v>
      </c>
      <c r="L249" s="177">
        <f t="shared" si="39"/>
        <v>0</v>
      </c>
      <c r="M249" s="382">
        <f t="shared" si="40"/>
        <v>0</v>
      </c>
      <c r="N249" s="161">
        <f t="shared" si="44"/>
        <v>0</v>
      </c>
      <c r="O249" s="75"/>
      <c r="P249" s="54">
        <f t="shared" si="37"/>
        <v>0</v>
      </c>
    </row>
    <row r="250" spans="1:16" ht="14.25" hidden="1">
      <c r="A250" s="54">
        <f>IF(J250=0,0,IF(J250&lt;'Información general'!$F$13*2,H250,0))</f>
        <v>0</v>
      </c>
      <c r="B250" s="378"/>
      <c r="C250" s="174"/>
      <c r="D250" s="380"/>
      <c r="E250" s="381"/>
      <c r="F250" s="175"/>
      <c r="G250" s="309">
        <f t="shared" si="41"/>
        <v>0</v>
      </c>
      <c r="H250" s="382">
        <f t="shared" si="42"/>
        <v>0</v>
      </c>
      <c r="I250" s="382">
        <f t="shared" si="38"/>
        <v>0</v>
      </c>
      <c r="J250" s="160">
        <f>ROUND(F250*(1+'Información general'!$F$10),0)</f>
        <v>0</v>
      </c>
      <c r="K250" s="160">
        <f t="shared" si="43"/>
        <v>0</v>
      </c>
      <c r="L250" s="177">
        <f t="shared" si="39"/>
        <v>0</v>
      </c>
      <c r="M250" s="382">
        <f t="shared" si="40"/>
        <v>0</v>
      </c>
      <c r="N250" s="161">
        <f t="shared" si="44"/>
        <v>0</v>
      </c>
      <c r="O250" s="75"/>
      <c r="P250" s="54">
        <f t="shared" si="37"/>
        <v>0</v>
      </c>
    </row>
    <row r="251" spans="1:16" ht="14.25" hidden="1">
      <c r="A251" s="54">
        <f>IF(J251=0,0,IF(J251&lt;'Información general'!$F$13*2,H251,0))</f>
        <v>0</v>
      </c>
      <c r="B251" s="378"/>
      <c r="C251" s="174"/>
      <c r="D251" s="380"/>
      <c r="E251" s="381"/>
      <c r="F251" s="175"/>
      <c r="G251" s="309">
        <f t="shared" si="41"/>
        <v>0</v>
      </c>
      <c r="H251" s="382">
        <f t="shared" si="42"/>
        <v>0</v>
      </c>
      <c r="I251" s="382">
        <f t="shared" si="38"/>
        <v>0</v>
      </c>
      <c r="J251" s="160">
        <f>ROUND(F251*(1+'Información general'!$F$10),0)</f>
        <v>0</v>
      </c>
      <c r="K251" s="160">
        <f t="shared" si="43"/>
        <v>0</v>
      </c>
      <c r="L251" s="177">
        <f t="shared" si="39"/>
        <v>0</v>
      </c>
      <c r="M251" s="382">
        <f t="shared" si="40"/>
        <v>0</v>
      </c>
      <c r="N251" s="161">
        <f t="shared" si="44"/>
        <v>0</v>
      </c>
      <c r="O251" s="75"/>
      <c r="P251" s="54">
        <f t="shared" si="37"/>
        <v>0</v>
      </c>
    </row>
    <row r="252" spans="1:16" ht="14.25" hidden="1">
      <c r="A252" s="54">
        <f>IF(J252=0,0,IF(J252&lt;'Información general'!$F$13*2,H252,0))</f>
        <v>0</v>
      </c>
      <c r="B252" s="378"/>
      <c r="C252" s="174"/>
      <c r="D252" s="380"/>
      <c r="E252" s="381"/>
      <c r="F252" s="175"/>
      <c r="G252" s="309">
        <f t="shared" si="41"/>
        <v>0</v>
      </c>
      <c r="H252" s="382">
        <f t="shared" si="42"/>
        <v>0</v>
      </c>
      <c r="I252" s="382">
        <f t="shared" si="38"/>
        <v>0</v>
      </c>
      <c r="J252" s="160">
        <f>ROUND(F252*(1+'Información general'!$F$10),0)</f>
        <v>0</v>
      </c>
      <c r="K252" s="160">
        <f t="shared" si="43"/>
        <v>0</v>
      </c>
      <c r="L252" s="177">
        <f t="shared" si="39"/>
        <v>0</v>
      </c>
      <c r="M252" s="382">
        <f t="shared" si="40"/>
        <v>0</v>
      </c>
      <c r="N252" s="161">
        <f t="shared" si="44"/>
        <v>0</v>
      </c>
      <c r="O252" s="75"/>
      <c r="P252" s="54">
        <f t="shared" si="37"/>
        <v>0</v>
      </c>
    </row>
    <row r="253" spans="1:16" ht="14.25" hidden="1">
      <c r="A253" s="54">
        <f>IF(J253=0,0,IF(J253&lt;'Información general'!$F$13*2,H253,0))</f>
        <v>0</v>
      </c>
      <c r="B253" s="378"/>
      <c r="C253" s="174"/>
      <c r="D253" s="380"/>
      <c r="E253" s="381"/>
      <c r="F253" s="175"/>
      <c r="G253" s="309">
        <f t="shared" si="41"/>
        <v>0</v>
      </c>
      <c r="H253" s="382">
        <f t="shared" si="42"/>
        <v>0</v>
      </c>
      <c r="I253" s="382">
        <f t="shared" si="38"/>
        <v>0</v>
      </c>
      <c r="J253" s="160">
        <f>ROUND(F253*(1+'Información general'!$F$10),0)</f>
        <v>0</v>
      </c>
      <c r="K253" s="160">
        <f t="shared" si="43"/>
        <v>0</v>
      </c>
      <c r="L253" s="177">
        <f t="shared" si="39"/>
        <v>0</v>
      </c>
      <c r="M253" s="382">
        <f t="shared" si="40"/>
        <v>0</v>
      </c>
      <c r="N253" s="161">
        <f t="shared" si="44"/>
        <v>0</v>
      </c>
      <c r="O253" s="75"/>
      <c r="P253" s="54">
        <f t="shared" si="37"/>
        <v>0</v>
      </c>
    </row>
    <row r="254" spans="1:16" ht="14.25" hidden="1">
      <c r="A254" s="54">
        <f>IF(J254=0,0,IF(J254&lt;'Información general'!$F$13*2,H254,0))</f>
        <v>0</v>
      </c>
      <c r="B254" s="378"/>
      <c r="C254" s="174"/>
      <c r="D254" s="380"/>
      <c r="E254" s="381"/>
      <c r="F254" s="175"/>
      <c r="G254" s="309">
        <f t="shared" si="41"/>
        <v>0</v>
      </c>
      <c r="H254" s="382">
        <f t="shared" si="42"/>
        <v>0</v>
      </c>
      <c r="I254" s="382">
        <f t="shared" si="38"/>
        <v>0</v>
      </c>
      <c r="J254" s="160">
        <f>ROUND(F254*(1+'Información general'!$F$10),0)</f>
        <v>0</v>
      </c>
      <c r="K254" s="160">
        <f t="shared" si="43"/>
        <v>0</v>
      </c>
      <c r="L254" s="177">
        <f t="shared" si="39"/>
        <v>0</v>
      </c>
      <c r="M254" s="382">
        <f t="shared" si="40"/>
        <v>0</v>
      </c>
      <c r="N254" s="161">
        <f t="shared" si="44"/>
        <v>0</v>
      </c>
      <c r="O254" s="75"/>
      <c r="P254" s="54">
        <f t="shared" si="37"/>
        <v>0</v>
      </c>
    </row>
    <row r="255" spans="1:16" ht="14.25" hidden="1">
      <c r="A255" s="54">
        <f>IF(J255=0,0,IF(J255&lt;'Información general'!$F$13*2,H255,0))</f>
        <v>0</v>
      </c>
      <c r="B255" s="378"/>
      <c r="C255" s="174"/>
      <c r="D255" s="380"/>
      <c r="E255" s="381"/>
      <c r="F255" s="175"/>
      <c r="G255" s="309">
        <f t="shared" si="41"/>
        <v>0</v>
      </c>
      <c r="H255" s="382">
        <f t="shared" si="42"/>
        <v>0</v>
      </c>
      <c r="I255" s="382">
        <f t="shared" si="38"/>
        <v>0</v>
      </c>
      <c r="J255" s="160">
        <f>ROUND(F255*(1+'Información general'!$F$10),0)</f>
        <v>0</v>
      </c>
      <c r="K255" s="160">
        <f t="shared" si="43"/>
        <v>0</v>
      </c>
      <c r="L255" s="177">
        <f t="shared" si="39"/>
        <v>0</v>
      </c>
      <c r="M255" s="382">
        <f t="shared" si="40"/>
        <v>0</v>
      </c>
      <c r="N255" s="161">
        <f t="shared" si="44"/>
        <v>0</v>
      </c>
      <c r="O255" s="75"/>
      <c r="P255" s="54">
        <f aca="true" t="shared" si="45" ref="P255:P311">+IF(COUNT(B255:N255)&gt;8,1,0)</f>
        <v>0</v>
      </c>
    </row>
    <row r="256" spans="1:16" ht="14.25" hidden="1">
      <c r="A256" s="54">
        <f>IF(J256=0,0,IF(J256&lt;'Información general'!$F$13*2,H256,0))</f>
        <v>0</v>
      </c>
      <c r="B256" s="378"/>
      <c r="C256" s="174"/>
      <c r="D256" s="380"/>
      <c r="E256" s="381"/>
      <c r="F256" s="175"/>
      <c r="G256" s="309">
        <f t="shared" si="41"/>
        <v>0</v>
      </c>
      <c r="H256" s="382">
        <f t="shared" si="42"/>
        <v>0</v>
      </c>
      <c r="I256" s="382">
        <f t="shared" si="38"/>
        <v>0</v>
      </c>
      <c r="J256" s="160">
        <f>ROUND(F256*(1+'Información general'!$F$10),0)</f>
        <v>0</v>
      </c>
      <c r="K256" s="160">
        <f t="shared" si="43"/>
        <v>0</v>
      </c>
      <c r="L256" s="177">
        <f t="shared" si="39"/>
        <v>0</v>
      </c>
      <c r="M256" s="382">
        <f t="shared" si="40"/>
        <v>0</v>
      </c>
      <c r="N256" s="161">
        <f t="shared" si="44"/>
        <v>0</v>
      </c>
      <c r="O256" s="75"/>
      <c r="P256" s="54">
        <f t="shared" si="45"/>
        <v>0</v>
      </c>
    </row>
    <row r="257" spans="1:16" ht="14.25" hidden="1">
      <c r="A257" s="54">
        <f>IF(J257=0,0,IF(J257&lt;'Información general'!$F$13*2,H257,0))</f>
        <v>0</v>
      </c>
      <c r="B257" s="378"/>
      <c r="C257" s="174"/>
      <c r="D257" s="380"/>
      <c r="E257" s="381"/>
      <c r="F257" s="175"/>
      <c r="G257" s="309">
        <f t="shared" si="41"/>
        <v>0</v>
      </c>
      <c r="H257" s="382">
        <f t="shared" si="42"/>
        <v>0</v>
      </c>
      <c r="I257" s="382">
        <f t="shared" si="38"/>
        <v>0</v>
      </c>
      <c r="J257" s="160">
        <f>ROUND(F257*(1+'Información general'!$F$10),0)</f>
        <v>0</v>
      </c>
      <c r="K257" s="160">
        <f t="shared" si="43"/>
        <v>0</v>
      </c>
      <c r="L257" s="177">
        <f t="shared" si="39"/>
        <v>0</v>
      </c>
      <c r="M257" s="382">
        <f t="shared" si="40"/>
        <v>0</v>
      </c>
      <c r="N257" s="161">
        <f t="shared" si="44"/>
        <v>0</v>
      </c>
      <c r="O257" s="75"/>
      <c r="P257" s="54">
        <f t="shared" si="45"/>
        <v>0</v>
      </c>
    </row>
    <row r="258" spans="1:16" ht="14.25" hidden="1">
      <c r="A258" s="54">
        <f>IF(J258=0,0,IF(J258&lt;'Información general'!$F$13*2,H258,0))</f>
        <v>0</v>
      </c>
      <c r="B258" s="378"/>
      <c r="C258" s="174"/>
      <c r="D258" s="380"/>
      <c r="E258" s="381"/>
      <c r="F258" s="175"/>
      <c r="G258" s="309">
        <f t="shared" si="41"/>
        <v>0</v>
      </c>
      <c r="H258" s="382">
        <f t="shared" si="42"/>
        <v>0</v>
      </c>
      <c r="I258" s="382">
        <f t="shared" si="38"/>
        <v>0</v>
      </c>
      <c r="J258" s="160">
        <f>ROUND(F258*(1+'Información general'!$F$10),0)</f>
        <v>0</v>
      </c>
      <c r="K258" s="160">
        <f t="shared" si="43"/>
        <v>0</v>
      </c>
      <c r="L258" s="177">
        <f t="shared" si="39"/>
        <v>0</v>
      </c>
      <c r="M258" s="382">
        <f t="shared" si="40"/>
        <v>0</v>
      </c>
      <c r="N258" s="161">
        <f t="shared" si="44"/>
        <v>0</v>
      </c>
      <c r="O258" s="75"/>
      <c r="P258" s="54">
        <f t="shared" si="45"/>
        <v>0</v>
      </c>
    </row>
    <row r="259" spans="1:16" ht="14.25" hidden="1">
      <c r="A259" s="54">
        <f>IF(J259=0,0,IF(J259&lt;'Información general'!$F$13*2,H259,0))</f>
        <v>0</v>
      </c>
      <c r="B259" s="378"/>
      <c r="C259" s="174"/>
      <c r="D259" s="380"/>
      <c r="E259" s="381"/>
      <c r="F259" s="175"/>
      <c r="G259" s="309">
        <f t="shared" si="41"/>
        <v>0</v>
      </c>
      <c r="H259" s="382">
        <f t="shared" si="42"/>
        <v>0</v>
      </c>
      <c r="I259" s="382">
        <f t="shared" si="38"/>
        <v>0</v>
      </c>
      <c r="J259" s="160">
        <f>ROUND(F259*(1+'Información general'!$F$10),0)</f>
        <v>0</v>
      </c>
      <c r="K259" s="160">
        <f t="shared" si="43"/>
        <v>0</v>
      </c>
      <c r="L259" s="177">
        <f t="shared" si="39"/>
        <v>0</v>
      </c>
      <c r="M259" s="382">
        <f t="shared" si="40"/>
        <v>0</v>
      </c>
      <c r="N259" s="161">
        <f t="shared" si="44"/>
        <v>0</v>
      </c>
      <c r="O259" s="75"/>
      <c r="P259" s="54">
        <f t="shared" si="45"/>
        <v>0</v>
      </c>
    </row>
    <row r="260" spans="1:16" ht="14.25" hidden="1">
      <c r="A260" s="54">
        <f>IF(J260=0,0,IF(J260&lt;'Información general'!$F$13*2,H260,0))</f>
        <v>0</v>
      </c>
      <c r="B260" s="378"/>
      <c r="C260" s="174"/>
      <c r="D260" s="380"/>
      <c r="E260" s="381"/>
      <c r="F260" s="175"/>
      <c r="G260" s="309">
        <f t="shared" si="41"/>
        <v>0</v>
      </c>
      <c r="H260" s="382">
        <f t="shared" si="42"/>
        <v>0</v>
      </c>
      <c r="I260" s="382">
        <f t="shared" si="38"/>
        <v>0</v>
      </c>
      <c r="J260" s="160">
        <f>ROUND(F260*(1+'Información general'!$F$10),0)</f>
        <v>0</v>
      </c>
      <c r="K260" s="160">
        <f t="shared" si="43"/>
        <v>0</v>
      </c>
      <c r="L260" s="177">
        <f t="shared" si="39"/>
        <v>0</v>
      </c>
      <c r="M260" s="382">
        <f t="shared" si="40"/>
        <v>0</v>
      </c>
      <c r="N260" s="161">
        <f t="shared" si="44"/>
        <v>0</v>
      </c>
      <c r="O260" s="75"/>
      <c r="P260" s="54">
        <f t="shared" si="45"/>
        <v>0</v>
      </c>
    </row>
    <row r="261" spans="1:16" ht="14.25" hidden="1">
      <c r="A261" s="54">
        <f>IF(J261=0,0,IF(J261&lt;'Información general'!$F$13*2,H261,0))</f>
        <v>0</v>
      </c>
      <c r="B261" s="378"/>
      <c r="C261" s="174"/>
      <c r="D261" s="380"/>
      <c r="E261" s="381"/>
      <c r="F261" s="175"/>
      <c r="G261" s="309">
        <f t="shared" si="41"/>
        <v>0</v>
      </c>
      <c r="H261" s="382">
        <f t="shared" si="42"/>
        <v>0</v>
      </c>
      <c r="I261" s="382">
        <f t="shared" si="38"/>
        <v>0</v>
      </c>
      <c r="J261" s="160">
        <f>ROUND(F261*(1+'Información general'!$F$10),0)</f>
        <v>0</v>
      </c>
      <c r="K261" s="160">
        <f t="shared" si="43"/>
        <v>0</v>
      </c>
      <c r="L261" s="177">
        <f t="shared" si="39"/>
        <v>0</v>
      </c>
      <c r="M261" s="382">
        <f t="shared" si="40"/>
        <v>0</v>
      </c>
      <c r="N261" s="161">
        <f t="shared" si="44"/>
        <v>0</v>
      </c>
      <c r="O261" s="75"/>
      <c r="P261" s="54">
        <f t="shared" si="45"/>
        <v>0</v>
      </c>
    </row>
    <row r="262" spans="1:16" ht="14.25" hidden="1">
      <c r="A262" s="54">
        <f>IF(J262=0,0,IF(J262&lt;'Información general'!$F$13*2,H262,0))</f>
        <v>0</v>
      </c>
      <c r="B262" s="378"/>
      <c r="C262" s="174"/>
      <c r="D262" s="380"/>
      <c r="E262" s="381"/>
      <c r="F262" s="175"/>
      <c r="G262" s="309">
        <f t="shared" si="41"/>
        <v>0</v>
      </c>
      <c r="H262" s="382">
        <f t="shared" si="42"/>
        <v>0</v>
      </c>
      <c r="I262" s="382">
        <f t="shared" si="38"/>
        <v>0</v>
      </c>
      <c r="J262" s="160">
        <f>ROUND(F262*(1+'Información general'!$F$10),0)</f>
        <v>0</v>
      </c>
      <c r="K262" s="160">
        <f t="shared" si="43"/>
        <v>0</v>
      </c>
      <c r="L262" s="177">
        <f t="shared" si="39"/>
        <v>0</v>
      </c>
      <c r="M262" s="382">
        <f t="shared" si="40"/>
        <v>0</v>
      </c>
      <c r="N262" s="161">
        <f t="shared" si="44"/>
        <v>0</v>
      </c>
      <c r="O262" s="75"/>
      <c r="P262" s="54">
        <f t="shared" si="45"/>
        <v>0</v>
      </c>
    </row>
    <row r="263" spans="1:16" ht="14.25" hidden="1">
      <c r="A263" s="54">
        <f>IF(J263=0,0,IF(J263&lt;'Información general'!$F$13*2,H263,0))</f>
        <v>0</v>
      </c>
      <c r="B263" s="378"/>
      <c r="C263" s="174"/>
      <c r="D263" s="380"/>
      <c r="E263" s="381"/>
      <c r="F263" s="175"/>
      <c r="G263" s="309">
        <f t="shared" si="41"/>
        <v>0</v>
      </c>
      <c r="H263" s="382">
        <f t="shared" si="42"/>
        <v>0</v>
      </c>
      <c r="I263" s="382">
        <f t="shared" si="38"/>
        <v>0</v>
      </c>
      <c r="J263" s="160">
        <f>ROUND(F263*(1+'Información general'!$F$10),0)</f>
        <v>0</v>
      </c>
      <c r="K263" s="160">
        <f t="shared" si="43"/>
        <v>0</v>
      </c>
      <c r="L263" s="177">
        <f t="shared" si="39"/>
        <v>0</v>
      </c>
      <c r="M263" s="382">
        <f t="shared" si="40"/>
        <v>0</v>
      </c>
      <c r="N263" s="161">
        <f t="shared" si="44"/>
        <v>0</v>
      </c>
      <c r="O263" s="75"/>
      <c r="P263" s="54">
        <f t="shared" si="45"/>
        <v>0</v>
      </c>
    </row>
    <row r="264" spans="1:16" ht="14.25" hidden="1">
      <c r="A264" s="54">
        <f>IF(J264=0,0,IF(J264&lt;'Información general'!$F$13*2,H264,0))</f>
        <v>0</v>
      </c>
      <c r="B264" s="378"/>
      <c r="C264" s="174"/>
      <c r="D264" s="380"/>
      <c r="E264" s="381"/>
      <c r="F264" s="175"/>
      <c r="G264" s="309">
        <f t="shared" si="41"/>
        <v>0</v>
      </c>
      <c r="H264" s="382">
        <f t="shared" si="42"/>
        <v>0</v>
      </c>
      <c r="I264" s="382">
        <f t="shared" si="38"/>
        <v>0</v>
      </c>
      <c r="J264" s="160">
        <f>ROUND(F264*(1+'Información general'!$F$10),0)</f>
        <v>0</v>
      </c>
      <c r="K264" s="160">
        <f t="shared" si="43"/>
        <v>0</v>
      </c>
      <c r="L264" s="177">
        <f t="shared" si="39"/>
        <v>0</v>
      </c>
      <c r="M264" s="382">
        <f t="shared" si="40"/>
        <v>0</v>
      </c>
      <c r="N264" s="161">
        <f t="shared" si="44"/>
        <v>0</v>
      </c>
      <c r="O264" s="75"/>
      <c r="P264" s="54">
        <f t="shared" si="45"/>
        <v>0</v>
      </c>
    </row>
    <row r="265" spans="1:16" ht="14.25" hidden="1">
      <c r="A265" s="54">
        <f>IF(J265=0,0,IF(J265&lt;'Información general'!$F$13*2,H265,0))</f>
        <v>0</v>
      </c>
      <c r="B265" s="378"/>
      <c r="C265" s="174"/>
      <c r="D265" s="380"/>
      <c r="E265" s="381"/>
      <c r="F265" s="175"/>
      <c r="G265" s="309">
        <f t="shared" si="41"/>
        <v>0</v>
      </c>
      <c r="H265" s="382">
        <f t="shared" si="42"/>
        <v>0</v>
      </c>
      <c r="I265" s="382">
        <f t="shared" si="38"/>
        <v>0</v>
      </c>
      <c r="J265" s="160">
        <f>ROUND(F265*(1+'Información general'!$F$10),0)</f>
        <v>0</v>
      </c>
      <c r="K265" s="160">
        <f t="shared" si="43"/>
        <v>0</v>
      </c>
      <c r="L265" s="177">
        <f t="shared" si="39"/>
        <v>0</v>
      </c>
      <c r="M265" s="382">
        <f t="shared" si="40"/>
        <v>0</v>
      </c>
      <c r="N265" s="161">
        <f t="shared" si="44"/>
        <v>0</v>
      </c>
      <c r="O265" s="75"/>
      <c r="P265" s="54">
        <f t="shared" si="45"/>
        <v>0</v>
      </c>
    </row>
    <row r="266" spans="1:16" ht="14.25" hidden="1">
      <c r="A266" s="54">
        <f>IF(J266=0,0,IF(J266&lt;'Información general'!$F$13*2,H266,0))</f>
        <v>0</v>
      </c>
      <c r="B266" s="378"/>
      <c r="C266" s="174"/>
      <c r="D266" s="380"/>
      <c r="E266" s="381"/>
      <c r="F266" s="175"/>
      <c r="G266" s="309">
        <f t="shared" si="41"/>
        <v>0</v>
      </c>
      <c r="H266" s="382">
        <f t="shared" si="42"/>
        <v>0</v>
      </c>
      <c r="I266" s="382">
        <f t="shared" si="38"/>
        <v>0</v>
      </c>
      <c r="J266" s="160">
        <f>ROUND(F266*(1+'Información general'!$F$10),0)</f>
        <v>0</v>
      </c>
      <c r="K266" s="160">
        <f t="shared" si="43"/>
        <v>0</v>
      </c>
      <c r="L266" s="177">
        <f t="shared" si="39"/>
        <v>0</v>
      </c>
      <c r="M266" s="382">
        <f t="shared" si="40"/>
        <v>0</v>
      </c>
      <c r="N266" s="161">
        <f t="shared" si="44"/>
        <v>0</v>
      </c>
      <c r="O266" s="75"/>
      <c r="P266" s="54">
        <f t="shared" si="45"/>
        <v>0</v>
      </c>
    </row>
    <row r="267" spans="1:16" ht="14.25" hidden="1">
      <c r="A267" s="54">
        <f>IF(J267=0,0,IF(J267&lt;'Información general'!$F$13*2,H267,0))</f>
        <v>0</v>
      </c>
      <c r="B267" s="378"/>
      <c r="C267" s="174"/>
      <c r="D267" s="380"/>
      <c r="E267" s="381"/>
      <c r="F267" s="175"/>
      <c r="G267" s="309">
        <f t="shared" si="41"/>
        <v>0</v>
      </c>
      <c r="H267" s="382">
        <f t="shared" si="42"/>
        <v>0</v>
      </c>
      <c r="I267" s="382">
        <f t="shared" si="38"/>
        <v>0</v>
      </c>
      <c r="J267" s="160">
        <f>ROUND(F267*(1+'Información general'!$F$10),0)</f>
        <v>0</v>
      </c>
      <c r="K267" s="160">
        <f t="shared" si="43"/>
        <v>0</v>
      </c>
      <c r="L267" s="177">
        <f t="shared" si="39"/>
        <v>0</v>
      </c>
      <c r="M267" s="382">
        <f t="shared" si="40"/>
        <v>0</v>
      </c>
      <c r="N267" s="161">
        <f t="shared" si="44"/>
        <v>0</v>
      </c>
      <c r="O267" s="75"/>
      <c r="P267" s="54">
        <f t="shared" si="45"/>
        <v>0</v>
      </c>
    </row>
    <row r="268" spans="1:16" ht="14.25" hidden="1">
      <c r="A268" s="54">
        <f>IF(J268=0,0,IF(J268&lt;'Información general'!$F$13*2,H268,0))</f>
        <v>0</v>
      </c>
      <c r="B268" s="378"/>
      <c r="C268" s="174"/>
      <c r="D268" s="380"/>
      <c r="E268" s="381"/>
      <c r="F268" s="175"/>
      <c r="G268" s="309">
        <f t="shared" si="41"/>
        <v>0</v>
      </c>
      <c r="H268" s="382">
        <f t="shared" si="42"/>
        <v>0</v>
      </c>
      <c r="I268" s="382">
        <f t="shared" si="38"/>
        <v>0</v>
      </c>
      <c r="J268" s="160">
        <f>ROUND(F268*(1+'Información general'!$F$10),0)</f>
        <v>0</v>
      </c>
      <c r="K268" s="160">
        <f t="shared" si="43"/>
        <v>0</v>
      </c>
      <c r="L268" s="177">
        <f t="shared" si="39"/>
        <v>0</v>
      </c>
      <c r="M268" s="382">
        <f t="shared" si="40"/>
        <v>0</v>
      </c>
      <c r="N268" s="161">
        <f t="shared" si="44"/>
        <v>0</v>
      </c>
      <c r="O268" s="75"/>
      <c r="P268" s="54">
        <f t="shared" si="45"/>
        <v>0</v>
      </c>
    </row>
    <row r="269" spans="1:16" ht="14.25" hidden="1">
      <c r="A269" s="54">
        <f>IF(J269=0,0,IF(J269&lt;'Información general'!$F$13*2,H269,0))</f>
        <v>0</v>
      </c>
      <c r="B269" s="378"/>
      <c r="C269" s="174"/>
      <c r="D269" s="380"/>
      <c r="E269" s="381"/>
      <c r="F269" s="175"/>
      <c r="G269" s="309">
        <f t="shared" si="41"/>
        <v>0</v>
      </c>
      <c r="H269" s="382">
        <f t="shared" si="42"/>
        <v>0</v>
      </c>
      <c r="I269" s="382">
        <f t="shared" si="38"/>
        <v>0</v>
      </c>
      <c r="J269" s="160">
        <f>ROUND(F269*(1+'Información general'!$F$10),0)</f>
        <v>0</v>
      </c>
      <c r="K269" s="160">
        <f t="shared" si="43"/>
        <v>0</v>
      </c>
      <c r="L269" s="177">
        <f t="shared" si="39"/>
        <v>0</v>
      </c>
      <c r="M269" s="382">
        <f t="shared" si="40"/>
        <v>0</v>
      </c>
      <c r="N269" s="161">
        <f t="shared" si="44"/>
        <v>0</v>
      </c>
      <c r="O269" s="75"/>
      <c r="P269" s="54">
        <f t="shared" si="45"/>
        <v>0</v>
      </c>
    </row>
    <row r="270" spans="1:16" ht="14.25" hidden="1">
      <c r="A270" s="54">
        <f>IF(J270=0,0,IF(J270&lt;'Información general'!$F$13*2,H270,0))</f>
        <v>0</v>
      </c>
      <c r="B270" s="378"/>
      <c r="C270" s="174"/>
      <c r="D270" s="380"/>
      <c r="E270" s="381"/>
      <c r="F270" s="175"/>
      <c r="G270" s="309">
        <f t="shared" si="41"/>
        <v>0</v>
      </c>
      <c r="H270" s="382">
        <f t="shared" si="42"/>
        <v>0</v>
      </c>
      <c r="I270" s="382">
        <f t="shared" si="38"/>
        <v>0</v>
      </c>
      <c r="J270" s="160">
        <f>ROUND(F270*(1+'Información general'!$F$10),0)</f>
        <v>0</v>
      </c>
      <c r="K270" s="160">
        <f t="shared" si="43"/>
        <v>0</v>
      </c>
      <c r="L270" s="177">
        <f t="shared" si="39"/>
        <v>0</v>
      </c>
      <c r="M270" s="382">
        <f t="shared" si="40"/>
        <v>0</v>
      </c>
      <c r="N270" s="161">
        <f t="shared" si="44"/>
        <v>0</v>
      </c>
      <c r="O270" s="75"/>
      <c r="P270" s="54">
        <f t="shared" si="45"/>
        <v>0</v>
      </c>
    </row>
    <row r="271" spans="1:16" ht="14.25" hidden="1">
      <c r="A271" s="54">
        <f>IF(J271=0,0,IF(J271&lt;'Información general'!$F$13*2,H271,0))</f>
        <v>0</v>
      </c>
      <c r="B271" s="378"/>
      <c r="C271" s="174"/>
      <c r="D271" s="380"/>
      <c r="E271" s="381"/>
      <c r="F271" s="175"/>
      <c r="G271" s="309">
        <f t="shared" si="41"/>
        <v>0</v>
      </c>
      <c r="H271" s="382">
        <f t="shared" si="42"/>
        <v>0</v>
      </c>
      <c r="I271" s="382">
        <f t="shared" si="38"/>
        <v>0</v>
      </c>
      <c r="J271" s="160">
        <f>ROUND(F271*(1+'Información general'!$F$10),0)</f>
        <v>0</v>
      </c>
      <c r="K271" s="160">
        <f t="shared" si="43"/>
        <v>0</v>
      </c>
      <c r="L271" s="177">
        <f t="shared" si="39"/>
        <v>0</v>
      </c>
      <c r="M271" s="382">
        <f t="shared" si="40"/>
        <v>0</v>
      </c>
      <c r="N271" s="161">
        <f t="shared" si="44"/>
        <v>0</v>
      </c>
      <c r="O271" s="75"/>
      <c r="P271" s="54">
        <f t="shared" si="45"/>
        <v>0</v>
      </c>
    </row>
    <row r="272" spans="1:16" ht="14.25" hidden="1">
      <c r="A272" s="54">
        <f>IF(J272=0,0,IF(J272&lt;'Información general'!$F$13*2,H272,0))</f>
        <v>0</v>
      </c>
      <c r="B272" s="378"/>
      <c r="C272" s="174"/>
      <c r="D272" s="380"/>
      <c r="E272" s="381"/>
      <c r="F272" s="175"/>
      <c r="G272" s="309">
        <f t="shared" si="41"/>
        <v>0</v>
      </c>
      <c r="H272" s="382">
        <f t="shared" si="42"/>
        <v>0</v>
      </c>
      <c r="I272" s="382">
        <f t="shared" si="38"/>
        <v>0</v>
      </c>
      <c r="J272" s="160">
        <f>ROUND(F272*(1+'Información general'!$F$10),0)</f>
        <v>0</v>
      </c>
      <c r="K272" s="160">
        <f t="shared" si="43"/>
        <v>0</v>
      </c>
      <c r="L272" s="177">
        <f t="shared" si="39"/>
        <v>0</v>
      </c>
      <c r="M272" s="382">
        <f t="shared" si="40"/>
        <v>0</v>
      </c>
      <c r="N272" s="161">
        <f t="shared" si="44"/>
        <v>0</v>
      </c>
      <c r="O272" s="75"/>
      <c r="P272" s="54">
        <f t="shared" si="45"/>
        <v>0</v>
      </c>
    </row>
    <row r="273" spans="1:16" ht="14.25" hidden="1">
      <c r="A273" s="54">
        <f>IF(J273=0,0,IF(J273&lt;'Información general'!$F$13*2,H273,0))</f>
        <v>0</v>
      </c>
      <c r="B273" s="378"/>
      <c r="C273" s="174"/>
      <c r="D273" s="380"/>
      <c r="E273" s="381"/>
      <c r="F273" s="175"/>
      <c r="G273" s="309">
        <f t="shared" si="41"/>
        <v>0</v>
      </c>
      <c r="H273" s="382">
        <f t="shared" si="42"/>
        <v>0</v>
      </c>
      <c r="I273" s="382">
        <f t="shared" si="38"/>
        <v>0</v>
      </c>
      <c r="J273" s="160">
        <f>ROUND(F273*(1+'Información general'!$F$10),0)</f>
        <v>0</v>
      </c>
      <c r="K273" s="160">
        <f t="shared" si="43"/>
        <v>0</v>
      </c>
      <c r="L273" s="177">
        <f t="shared" si="39"/>
        <v>0</v>
      </c>
      <c r="M273" s="382">
        <f t="shared" si="40"/>
        <v>0</v>
      </c>
      <c r="N273" s="161">
        <f t="shared" si="44"/>
        <v>0</v>
      </c>
      <c r="O273" s="75"/>
      <c r="P273" s="54">
        <f t="shared" si="45"/>
        <v>0</v>
      </c>
    </row>
    <row r="274" spans="1:16" ht="14.25" hidden="1">
      <c r="A274" s="54">
        <f>IF(J274=0,0,IF(J274&lt;'Información general'!$F$13*2,H274,0))</f>
        <v>0</v>
      </c>
      <c r="B274" s="378"/>
      <c r="C274" s="174"/>
      <c r="D274" s="380"/>
      <c r="E274" s="381"/>
      <c r="F274" s="175"/>
      <c r="G274" s="309">
        <f t="shared" si="41"/>
        <v>0</v>
      </c>
      <c r="H274" s="382">
        <f t="shared" si="42"/>
        <v>0</v>
      </c>
      <c r="I274" s="382">
        <f t="shared" si="38"/>
        <v>0</v>
      </c>
      <c r="J274" s="160">
        <f>ROUND(F274*(1+'Información general'!$F$10),0)</f>
        <v>0</v>
      </c>
      <c r="K274" s="160">
        <f t="shared" si="43"/>
        <v>0</v>
      </c>
      <c r="L274" s="177">
        <f t="shared" si="39"/>
        <v>0</v>
      </c>
      <c r="M274" s="382">
        <f t="shared" si="40"/>
        <v>0</v>
      </c>
      <c r="N274" s="161">
        <f t="shared" si="44"/>
        <v>0</v>
      </c>
      <c r="O274" s="75"/>
      <c r="P274" s="54">
        <f t="shared" si="45"/>
        <v>0</v>
      </c>
    </row>
    <row r="275" spans="1:16" ht="14.25" hidden="1">
      <c r="A275" s="54">
        <f>IF(J275=0,0,IF(J275&lt;'Información general'!$F$13*2,H275,0))</f>
        <v>0</v>
      </c>
      <c r="B275" s="378"/>
      <c r="C275" s="174"/>
      <c r="D275" s="380"/>
      <c r="E275" s="381"/>
      <c r="F275" s="175"/>
      <c r="G275" s="309">
        <f t="shared" si="41"/>
        <v>0</v>
      </c>
      <c r="H275" s="382">
        <f t="shared" si="42"/>
        <v>0</v>
      </c>
      <c r="I275" s="382">
        <f t="shared" si="38"/>
        <v>0</v>
      </c>
      <c r="J275" s="160">
        <f>ROUND(F275*(1+'Información general'!$F$10),0)</f>
        <v>0</v>
      </c>
      <c r="K275" s="160">
        <f t="shared" si="43"/>
        <v>0</v>
      </c>
      <c r="L275" s="177">
        <f t="shared" si="39"/>
        <v>0</v>
      </c>
      <c r="M275" s="382">
        <f t="shared" si="40"/>
        <v>0</v>
      </c>
      <c r="N275" s="161">
        <f t="shared" si="44"/>
        <v>0</v>
      </c>
      <c r="O275" s="75"/>
      <c r="P275" s="54">
        <f t="shared" si="45"/>
        <v>0</v>
      </c>
    </row>
    <row r="276" spans="1:16" ht="14.25" hidden="1">
      <c r="A276" s="54">
        <f>IF(J276=0,0,IF(J276&lt;'Información general'!$F$13*2,H276,0))</f>
        <v>0</v>
      </c>
      <c r="B276" s="378"/>
      <c r="C276" s="174"/>
      <c r="D276" s="380"/>
      <c r="E276" s="381"/>
      <c r="F276" s="175"/>
      <c r="G276" s="309">
        <f t="shared" si="41"/>
        <v>0</v>
      </c>
      <c r="H276" s="382">
        <f t="shared" si="42"/>
        <v>0</v>
      </c>
      <c r="I276" s="382">
        <f t="shared" si="38"/>
        <v>0</v>
      </c>
      <c r="J276" s="160">
        <f>ROUND(F276*(1+'Información general'!$F$10),0)</f>
        <v>0</v>
      </c>
      <c r="K276" s="160">
        <f t="shared" si="43"/>
        <v>0</v>
      </c>
      <c r="L276" s="177">
        <f t="shared" si="39"/>
        <v>0</v>
      </c>
      <c r="M276" s="382">
        <f t="shared" si="40"/>
        <v>0</v>
      </c>
      <c r="N276" s="161">
        <f t="shared" si="44"/>
        <v>0</v>
      </c>
      <c r="O276" s="75"/>
      <c r="P276" s="54">
        <f t="shared" si="45"/>
        <v>0</v>
      </c>
    </row>
    <row r="277" spans="1:16" ht="14.25" hidden="1">
      <c r="A277" s="54">
        <f>IF(J277=0,0,IF(J277&lt;'Información general'!$F$13*2,H277,0))</f>
        <v>0</v>
      </c>
      <c r="B277" s="378"/>
      <c r="C277" s="174"/>
      <c r="D277" s="380"/>
      <c r="E277" s="381"/>
      <c r="F277" s="175"/>
      <c r="G277" s="309">
        <f t="shared" si="41"/>
        <v>0</v>
      </c>
      <c r="H277" s="382">
        <f t="shared" si="42"/>
        <v>0</v>
      </c>
      <c r="I277" s="382">
        <f t="shared" si="38"/>
        <v>0</v>
      </c>
      <c r="J277" s="160">
        <f>ROUND(F277*(1+'Información general'!$F$10),0)</f>
        <v>0</v>
      </c>
      <c r="K277" s="160">
        <f t="shared" si="43"/>
        <v>0</v>
      </c>
      <c r="L277" s="177">
        <f t="shared" si="39"/>
        <v>0</v>
      </c>
      <c r="M277" s="382">
        <f t="shared" si="40"/>
        <v>0</v>
      </c>
      <c r="N277" s="161">
        <f t="shared" si="44"/>
        <v>0</v>
      </c>
      <c r="O277" s="75"/>
      <c r="P277" s="54">
        <f t="shared" si="45"/>
        <v>0</v>
      </c>
    </row>
    <row r="278" spans="1:16" ht="14.25" hidden="1">
      <c r="A278" s="54">
        <f>IF(J278=0,0,IF(J278&lt;'Información general'!$F$13*2,H278,0))</f>
        <v>0</v>
      </c>
      <c r="B278" s="378"/>
      <c r="C278" s="174"/>
      <c r="D278" s="380"/>
      <c r="E278" s="381"/>
      <c r="F278" s="175"/>
      <c r="G278" s="309">
        <f t="shared" si="41"/>
        <v>0</v>
      </c>
      <c r="H278" s="382">
        <f t="shared" si="42"/>
        <v>0</v>
      </c>
      <c r="I278" s="382">
        <f t="shared" si="38"/>
        <v>0</v>
      </c>
      <c r="J278" s="160">
        <f>ROUND(F278*(1+'Información general'!$F$10),0)</f>
        <v>0</v>
      </c>
      <c r="K278" s="160">
        <f t="shared" si="43"/>
        <v>0</v>
      </c>
      <c r="L278" s="177">
        <f t="shared" si="39"/>
        <v>0</v>
      </c>
      <c r="M278" s="382">
        <f t="shared" si="40"/>
        <v>0</v>
      </c>
      <c r="N278" s="161">
        <f t="shared" si="44"/>
        <v>0</v>
      </c>
      <c r="O278" s="75"/>
      <c r="P278" s="54">
        <f t="shared" si="45"/>
        <v>0</v>
      </c>
    </row>
    <row r="279" spans="1:16" ht="14.25" hidden="1">
      <c r="A279" s="54">
        <f>IF(J279=0,0,IF(J279&lt;'Información general'!$F$13*2,H279,0))</f>
        <v>0</v>
      </c>
      <c r="B279" s="378"/>
      <c r="C279" s="174"/>
      <c r="D279" s="380"/>
      <c r="E279" s="381"/>
      <c r="F279" s="175"/>
      <c r="G279" s="309">
        <f t="shared" si="41"/>
        <v>0</v>
      </c>
      <c r="H279" s="382">
        <f t="shared" si="42"/>
        <v>0</v>
      </c>
      <c r="I279" s="382">
        <f t="shared" si="38"/>
        <v>0</v>
      </c>
      <c r="J279" s="160">
        <f>ROUND(F279*(1+'Información general'!$F$10),0)</f>
        <v>0</v>
      </c>
      <c r="K279" s="160">
        <f t="shared" si="43"/>
        <v>0</v>
      </c>
      <c r="L279" s="177">
        <f t="shared" si="39"/>
        <v>0</v>
      </c>
      <c r="M279" s="382">
        <f t="shared" si="40"/>
        <v>0</v>
      </c>
      <c r="N279" s="161">
        <f t="shared" si="44"/>
        <v>0</v>
      </c>
      <c r="O279" s="75"/>
      <c r="P279" s="54">
        <f t="shared" si="45"/>
        <v>0</v>
      </c>
    </row>
    <row r="280" spans="1:16" ht="14.25" hidden="1">
      <c r="A280" s="54">
        <f>IF(J280=0,0,IF(J280&lt;'Información general'!$F$13*2,H280,0))</f>
        <v>0</v>
      </c>
      <c r="B280" s="378"/>
      <c r="C280" s="174"/>
      <c r="D280" s="380"/>
      <c r="E280" s="381"/>
      <c r="F280" s="175"/>
      <c r="G280" s="309">
        <f t="shared" si="41"/>
        <v>0</v>
      </c>
      <c r="H280" s="382">
        <f t="shared" si="42"/>
        <v>0</v>
      </c>
      <c r="I280" s="382">
        <f t="shared" si="38"/>
        <v>0</v>
      </c>
      <c r="J280" s="160">
        <f>ROUND(F280*(1+'Información general'!$F$10),0)</f>
        <v>0</v>
      </c>
      <c r="K280" s="160">
        <f t="shared" si="43"/>
        <v>0</v>
      </c>
      <c r="L280" s="177">
        <f t="shared" si="39"/>
        <v>0</v>
      </c>
      <c r="M280" s="382">
        <f t="shared" si="40"/>
        <v>0</v>
      </c>
      <c r="N280" s="161">
        <f t="shared" si="44"/>
        <v>0</v>
      </c>
      <c r="O280" s="75"/>
      <c r="P280" s="54">
        <f t="shared" si="45"/>
        <v>0</v>
      </c>
    </row>
    <row r="281" spans="1:16" ht="14.25" hidden="1">
      <c r="A281" s="54">
        <f>IF(J281=0,0,IF(J281&lt;'Información general'!$F$13*2,H281,0))</f>
        <v>0</v>
      </c>
      <c r="B281" s="378"/>
      <c r="C281" s="174"/>
      <c r="D281" s="380"/>
      <c r="E281" s="381"/>
      <c r="F281" s="175"/>
      <c r="G281" s="309">
        <f t="shared" si="41"/>
        <v>0</v>
      </c>
      <c r="H281" s="382">
        <f t="shared" si="42"/>
        <v>0</v>
      </c>
      <c r="I281" s="382">
        <f t="shared" si="38"/>
        <v>0</v>
      </c>
      <c r="J281" s="160">
        <f>ROUND(F281*(1+'Información general'!$F$10),0)</f>
        <v>0</v>
      </c>
      <c r="K281" s="160">
        <f t="shared" si="43"/>
        <v>0</v>
      </c>
      <c r="L281" s="177">
        <f t="shared" si="39"/>
        <v>0</v>
      </c>
      <c r="M281" s="382">
        <f t="shared" si="40"/>
        <v>0</v>
      </c>
      <c r="N281" s="161">
        <f t="shared" si="44"/>
        <v>0</v>
      </c>
      <c r="O281" s="75"/>
      <c r="P281" s="54">
        <f t="shared" si="45"/>
        <v>0</v>
      </c>
    </row>
    <row r="282" spans="1:16" ht="14.25" hidden="1">
      <c r="A282" s="54">
        <f>IF(J282=0,0,IF(J282&lt;'Información general'!$F$13*2,H282,0))</f>
        <v>0</v>
      </c>
      <c r="B282" s="378"/>
      <c r="C282" s="174"/>
      <c r="D282" s="380"/>
      <c r="E282" s="381"/>
      <c r="F282" s="175"/>
      <c r="G282" s="309">
        <f t="shared" si="41"/>
        <v>0</v>
      </c>
      <c r="H282" s="382">
        <f t="shared" si="42"/>
        <v>0</v>
      </c>
      <c r="I282" s="382">
        <f t="shared" si="38"/>
        <v>0</v>
      </c>
      <c r="J282" s="160">
        <f>ROUND(F282*(1+'Información general'!$F$10),0)</f>
        <v>0</v>
      </c>
      <c r="K282" s="160">
        <f t="shared" si="43"/>
        <v>0</v>
      </c>
      <c r="L282" s="177">
        <f t="shared" si="39"/>
        <v>0</v>
      </c>
      <c r="M282" s="382">
        <f t="shared" si="40"/>
        <v>0</v>
      </c>
      <c r="N282" s="161">
        <f t="shared" si="44"/>
        <v>0</v>
      </c>
      <c r="O282" s="75"/>
      <c r="P282" s="54">
        <f t="shared" si="45"/>
        <v>0</v>
      </c>
    </row>
    <row r="283" spans="1:16" ht="14.25" hidden="1">
      <c r="A283" s="54">
        <f>IF(J283=0,0,IF(J283&lt;'Información general'!$F$13*2,H283,0))</f>
        <v>0</v>
      </c>
      <c r="B283" s="378"/>
      <c r="C283" s="174"/>
      <c r="D283" s="380"/>
      <c r="E283" s="381"/>
      <c r="F283" s="175"/>
      <c r="G283" s="309">
        <f t="shared" si="41"/>
        <v>0</v>
      </c>
      <c r="H283" s="382">
        <f t="shared" si="42"/>
        <v>0</v>
      </c>
      <c r="I283" s="382">
        <f t="shared" si="38"/>
        <v>0</v>
      </c>
      <c r="J283" s="160">
        <f>ROUND(F283*(1+'Información general'!$F$10),0)</f>
        <v>0</v>
      </c>
      <c r="K283" s="160">
        <f t="shared" si="43"/>
        <v>0</v>
      </c>
      <c r="L283" s="177">
        <f t="shared" si="39"/>
        <v>0</v>
      </c>
      <c r="M283" s="382">
        <f t="shared" si="40"/>
        <v>0</v>
      </c>
      <c r="N283" s="161">
        <f t="shared" si="44"/>
        <v>0</v>
      </c>
      <c r="O283" s="75"/>
      <c r="P283" s="54">
        <f t="shared" si="45"/>
        <v>0</v>
      </c>
    </row>
    <row r="284" spans="1:16" ht="14.25" hidden="1">
      <c r="A284" s="54">
        <f>IF(J284=0,0,IF(J284&lt;'Información general'!$F$13*2,H284,0))</f>
        <v>0</v>
      </c>
      <c r="B284" s="378"/>
      <c r="C284" s="174"/>
      <c r="D284" s="380"/>
      <c r="E284" s="381"/>
      <c r="F284" s="175"/>
      <c r="G284" s="309">
        <f t="shared" si="41"/>
        <v>0</v>
      </c>
      <c r="H284" s="382">
        <f t="shared" si="42"/>
        <v>0</v>
      </c>
      <c r="I284" s="382">
        <f t="shared" si="38"/>
        <v>0</v>
      </c>
      <c r="J284" s="160">
        <f>ROUND(F284*(1+'Información general'!$F$10),0)</f>
        <v>0</v>
      </c>
      <c r="K284" s="160">
        <f t="shared" si="43"/>
        <v>0</v>
      </c>
      <c r="L284" s="177">
        <f t="shared" si="39"/>
        <v>0</v>
      </c>
      <c r="M284" s="382">
        <f t="shared" si="40"/>
        <v>0</v>
      </c>
      <c r="N284" s="161">
        <f t="shared" si="44"/>
        <v>0</v>
      </c>
      <c r="O284" s="75"/>
      <c r="P284" s="54">
        <f t="shared" si="45"/>
        <v>0</v>
      </c>
    </row>
    <row r="285" spans="1:16" ht="14.25" hidden="1">
      <c r="A285" s="54">
        <f>IF(J285=0,0,IF(J285&lt;'Información general'!$F$13*2,H285,0))</f>
        <v>0</v>
      </c>
      <c r="B285" s="378"/>
      <c r="C285" s="174"/>
      <c r="D285" s="380"/>
      <c r="E285" s="381"/>
      <c r="F285" s="175"/>
      <c r="G285" s="309">
        <f t="shared" si="41"/>
        <v>0</v>
      </c>
      <c r="H285" s="382">
        <f t="shared" si="42"/>
        <v>0</v>
      </c>
      <c r="I285" s="382">
        <f t="shared" si="38"/>
        <v>0</v>
      </c>
      <c r="J285" s="160">
        <f>ROUND(F285*(1+'Información general'!$F$10),0)</f>
        <v>0</v>
      </c>
      <c r="K285" s="160">
        <f t="shared" si="43"/>
        <v>0</v>
      </c>
      <c r="L285" s="177">
        <f t="shared" si="39"/>
        <v>0</v>
      </c>
      <c r="M285" s="382">
        <f t="shared" si="40"/>
        <v>0</v>
      </c>
      <c r="N285" s="161">
        <f t="shared" si="44"/>
        <v>0</v>
      </c>
      <c r="O285" s="75"/>
      <c r="P285" s="54">
        <f t="shared" si="45"/>
        <v>0</v>
      </c>
    </row>
    <row r="286" spans="1:16" ht="14.25" hidden="1">
      <c r="A286" s="54">
        <f>IF(J286=0,0,IF(J286&lt;'Información general'!$F$13*2,H286,0))</f>
        <v>0</v>
      </c>
      <c r="B286" s="378"/>
      <c r="C286" s="174"/>
      <c r="D286" s="380"/>
      <c r="E286" s="381"/>
      <c r="F286" s="175"/>
      <c r="G286" s="309">
        <f t="shared" si="41"/>
        <v>0</v>
      </c>
      <c r="H286" s="382">
        <f t="shared" si="42"/>
        <v>0</v>
      </c>
      <c r="I286" s="382">
        <f t="shared" si="38"/>
        <v>0</v>
      </c>
      <c r="J286" s="160">
        <f>ROUND(F286*(1+'Información general'!$F$10),0)</f>
        <v>0</v>
      </c>
      <c r="K286" s="160">
        <f t="shared" si="43"/>
        <v>0</v>
      </c>
      <c r="L286" s="177">
        <f t="shared" si="39"/>
        <v>0</v>
      </c>
      <c r="M286" s="382">
        <f t="shared" si="40"/>
        <v>0</v>
      </c>
      <c r="N286" s="161">
        <f t="shared" si="44"/>
        <v>0</v>
      </c>
      <c r="O286" s="75"/>
      <c r="P286" s="54">
        <f t="shared" si="45"/>
        <v>0</v>
      </c>
    </row>
    <row r="287" spans="1:16" ht="14.25" hidden="1">
      <c r="A287" s="54">
        <f>IF(J287=0,0,IF(J287&lt;'Información general'!$F$13*2,H287,0))</f>
        <v>0</v>
      </c>
      <c r="B287" s="378"/>
      <c r="C287" s="174"/>
      <c r="D287" s="380"/>
      <c r="E287" s="381"/>
      <c r="F287" s="175"/>
      <c r="G287" s="309">
        <f t="shared" si="41"/>
        <v>0</v>
      </c>
      <c r="H287" s="382">
        <f t="shared" si="42"/>
        <v>0</v>
      </c>
      <c r="I287" s="382">
        <f t="shared" si="38"/>
        <v>0</v>
      </c>
      <c r="J287" s="160">
        <f>ROUND(F287*(1+'Información general'!$F$10),0)</f>
        <v>0</v>
      </c>
      <c r="K287" s="160">
        <f t="shared" si="43"/>
        <v>0</v>
      </c>
      <c r="L287" s="177">
        <f t="shared" si="39"/>
        <v>0</v>
      </c>
      <c r="M287" s="382">
        <f t="shared" si="40"/>
        <v>0</v>
      </c>
      <c r="N287" s="161">
        <f t="shared" si="44"/>
        <v>0</v>
      </c>
      <c r="O287" s="75"/>
      <c r="P287" s="54">
        <f t="shared" si="45"/>
        <v>0</v>
      </c>
    </row>
    <row r="288" spans="1:16" ht="14.25" hidden="1">
      <c r="A288" s="54">
        <f>IF(J288=0,0,IF(J288&lt;'Información general'!$F$13*2,H288,0))</f>
        <v>0</v>
      </c>
      <c r="B288" s="378"/>
      <c r="C288" s="174"/>
      <c r="D288" s="380"/>
      <c r="E288" s="381"/>
      <c r="F288" s="175"/>
      <c r="G288" s="309">
        <f t="shared" si="41"/>
        <v>0</v>
      </c>
      <c r="H288" s="382">
        <f t="shared" si="42"/>
        <v>0</v>
      </c>
      <c r="I288" s="382">
        <f t="shared" si="38"/>
        <v>0</v>
      </c>
      <c r="J288" s="160">
        <f>ROUND(F288*(1+'Información general'!$F$10),0)</f>
        <v>0</v>
      </c>
      <c r="K288" s="160">
        <f t="shared" si="43"/>
        <v>0</v>
      </c>
      <c r="L288" s="177">
        <f t="shared" si="39"/>
        <v>0</v>
      </c>
      <c r="M288" s="382">
        <f t="shared" si="40"/>
        <v>0</v>
      </c>
      <c r="N288" s="161">
        <f t="shared" si="44"/>
        <v>0</v>
      </c>
      <c r="O288" s="75"/>
      <c r="P288" s="54">
        <f t="shared" si="45"/>
        <v>0</v>
      </c>
    </row>
    <row r="289" spans="1:16" ht="14.25" hidden="1">
      <c r="A289" s="54">
        <f>IF(J289=0,0,IF(J289&lt;'Información general'!$F$13*2,H289,0))</f>
        <v>0</v>
      </c>
      <c r="B289" s="378"/>
      <c r="C289" s="174"/>
      <c r="D289" s="380"/>
      <c r="E289" s="381"/>
      <c r="F289" s="175"/>
      <c r="G289" s="309">
        <f t="shared" si="41"/>
        <v>0</v>
      </c>
      <c r="H289" s="382">
        <f t="shared" si="42"/>
        <v>0</v>
      </c>
      <c r="I289" s="382">
        <f t="shared" si="38"/>
        <v>0</v>
      </c>
      <c r="J289" s="160">
        <f>ROUND(F289*(1+'Información general'!$F$10),0)</f>
        <v>0</v>
      </c>
      <c r="K289" s="160">
        <f t="shared" si="43"/>
        <v>0</v>
      </c>
      <c r="L289" s="177">
        <f t="shared" si="39"/>
        <v>0</v>
      </c>
      <c r="M289" s="382">
        <f t="shared" si="40"/>
        <v>0</v>
      </c>
      <c r="N289" s="161">
        <f t="shared" si="44"/>
        <v>0</v>
      </c>
      <c r="O289" s="75"/>
      <c r="P289" s="54">
        <f t="shared" si="45"/>
        <v>0</v>
      </c>
    </row>
    <row r="290" spans="1:16" ht="14.25" hidden="1">
      <c r="A290" s="54">
        <f>IF(J290=0,0,IF(J290&lt;'Información general'!$F$13*2,H290,0))</f>
        <v>0</v>
      </c>
      <c r="B290" s="378"/>
      <c r="C290" s="174"/>
      <c r="D290" s="380"/>
      <c r="E290" s="381"/>
      <c r="F290" s="175"/>
      <c r="G290" s="309">
        <f t="shared" si="41"/>
        <v>0</v>
      </c>
      <c r="H290" s="382">
        <f t="shared" si="42"/>
        <v>0</v>
      </c>
      <c r="I290" s="382">
        <f t="shared" si="38"/>
        <v>0</v>
      </c>
      <c r="J290" s="160">
        <f>ROUND(F290*(1+'Información general'!$F$10),0)</f>
        <v>0</v>
      </c>
      <c r="K290" s="160">
        <f t="shared" si="43"/>
        <v>0</v>
      </c>
      <c r="L290" s="177">
        <f t="shared" si="39"/>
        <v>0</v>
      </c>
      <c r="M290" s="382">
        <f t="shared" si="40"/>
        <v>0</v>
      </c>
      <c r="N290" s="161">
        <f t="shared" si="44"/>
        <v>0</v>
      </c>
      <c r="O290" s="75"/>
      <c r="P290" s="54">
        <f t="shared" si="45"/>
        <v>0</v>
      </c>
    </row>
    <row r="291" spans="1:16" ht="14.25" hidden="1">
      <c r="A291" s="54">
        <f>IF(J291=0,0,IF(J291&lt;'Información general'!$F$13*2,H291,0))</f>
        <v>0</v>
      </c>
      <c r="B291" s="378"/>
      <c r="C291" s="174"/>
      <c r="D291" s="380"/>
      <c r="E291" s="381"/>
      <c r="F291" s="175"/>
      <c r="G291" s="309">
        <f t="shared" si="41"/>
        <v>0</v>
      </c>
      <c r="H291" s="382">
        <f t="shared" si="42"/>
        <v>0</v>
      </c>
      <c r="I291" s="382">
        <f t="shared" si="38"/>
        <v>0</v>
      </c>
      <c r="J291" s="160">
        <f>ROUND(F291*(1+'Información general'!$F$10),0)</f>
        <v>0</v>
      </c>
      <c r="K291" s="160">
        <f t="shared" si="43"/>
        <v>0</v>
      </c>
      <c r="L291" s="177">
        <f t="shared" si="39"/>
        <v>0</v>
      </c>
      <c r="M291" s="382">
        <f t="shared" si="40"/>
        <v>0</v>
      </c>
      <c r="N291" s="161">
        <f t="shared" si="44"/>
        <v>0</v>
      </c>
      <c r="O291" s="75"/>
      <c r="P291" s="54">
        <f t="shared" si="45"/>
        <v>0</v>
      </c>
    </row>
    <row r="292" spans="1:16" ht="14.25" hidden="1">
      <c r="A292" s="54">
        <f>IF(J292=0,0,IF(J292&lt;'Información general'!$F$13*2,H292,0))</f>
        <v>0</v>
      </c>
      <c r="B292" s="378"/>
      <c r="C292" s="174"/>
      <c r="D292" s="380"/>
      <c r="E292" s="381"/>
      <c r="F292" s="175"/>
      <c r="G292" s="309">
        <f t="shared" si="41"/>
        <v>0</v>
      </c>
      <c r="H292" s="382">
        <f t="shared" si="42"/>
        <v>0</v>
      </c>
      <c r="I292" s="382">
        <f t="shared" si="38"/>
        <v>0</v>
      </c>
      <c r="J292" s="160">
        <f>ROUND(F292*(1+'Información general'!$F$10),0)</f>
        <v>0</v>
      </c>
      <c r="K292" s="160">
        <f t="shared" si="43"/>
        <v>0</v>
      </c>
      <c r="L292" s="177">
        <f t="shared" si="39"/>
        <v>0</v>
      </c>
      <c r="M292" s="382">
        <f t="shared" si="40"/>
        <v>0</v>
      </c>
      <c r="N292" s="161">
        <f t="shared" si="44"/>
        <v>0</v>
      </c>
      <c r="O292" s="75"/>
      <c r="P292" s="54">
        <f t="shared" si="45"/>
        <v>0</v>
      </c>
    </row>
    <row r="293" spans="1:16" ht="14.25" hidden="1">
      <c r="A293" s="54">
        <f>IF(J293=0,0,IF(J293&lt;'Información general'!$F$13*2,H293,0))</f>
        <v>0</v>
      </c>
      <c r="B293" s="378"/>
      <c r="C293" s="174"/>
      <c r="D293" s="380"/>
      <c r="E293" s="381"/>
      <c r="F293" s="175"/>
      <c r="G293" s="309">
        <f t="shared" si="41"/>
        <v>0</v>
      </c>
      <c r="H293" s="382">
        <f t="shared" si="42"/>
        <v>0</v>
      </c>
      <c r="I293" s="382">
        <f t="shared" si="38"/>
        <v>0</v>
      </c>
      <c r="J293" s="160">
        <f>ROUND(F293*(1+'Información general'!$F$10),0)</f>
        <v>0</v>
      </c>
      <c r="K293" s="160">
        <f t="shared" si="43"/>
        <v>0</v>
      </c>
      <c r="L293" s="177">
        <f t="shared" si="39"/>
        <v>0</v>
      </c>
      <c r="M293" s="382">
        <f t="shared" si="40"/>
        <v>0</v>
      </c>
      <c r="N293" s="161">
        <f t="shared" si="44"/>
        <v>0</v>
      </c>
      <c r="O293" s="75"/>
      <c r="P293" s="54">
        <f t="shared" si="45"/>
        <v>0</v>
      </c>
    </row>
    <row r="294" spans="1:16" ht="14.25" hidden="1">
      <c r="A294" s="54">
        <f>IF(J294=0,0,IF(J294&lt;'Información general'!$F$13*2,H294,0))</f>
        <v>0</v>
      </c>
      <c r="B294" s="378"/>
      <c r="C294" s="174"/>
      <c r="D294" s="380"/>
      <c r="E294" s="381"/>
      <c r="F294" s="175"/>
      <c r="G294" s="309">
        <f t="shared" si="41"/>
        <v>0</v>
      </c>
      <c r="H294" s="382">
        <f t="shared" si="42"/>
        <v>0</v>
      </c>
      <c r="I294" s="382">
        <f t="shared" si="38"/>
        <v>0</v>
      </c>
      <c r="J294" s="160">
        <f>ROUND(F294*(1+'Información general'!$F$10),0)</f>
        <v>0</v>
      </c>
      <c r="K294" s="160">
        <f t="shared" si="43"/>
        <v>0</v>
      </c>
      <c r="L294" s="177">
        <f t="shared" si="39"/>
        <v>0</v>
      </c>
      <c r="M294" s="382">
        <f t="shared" si="40"/>
        <v>0</v>
      </c>
      <c r="N294" s="161">
        <f t="shared" si="44"/>
        <v>0</v>
      </c>
      <c r="O294" s="75"/>
      <c r="P294" s="54">
        <f t="shared" si="45"/>
        <v>0</v>
      </c>
    </row>
    <row r="295" spans="1:16" ht="14.25" hidden="1">
      <c r="A295" s="54">
        <f>IF(J295=0,0,IF(J295&lt;'Información general'!$F$13*2,H295,0))</f>
        <v>0</v>
      </c>
      <c r="B295" s="378"/>
      <c r="C295" s="174"/>
      <c r="D295" s="380"/>
      <c r="E295" s="381"/>
      <c r="F295" s="175"/>
      <c r="G295" s="309">
        <f t="shared" si="41"/>
        <v>0</v>
      </c>
      <c r="H295" s="382">
        <f t="shared" si="42"/>
        <v>0</v>
      </c>
      <c r="I295" s="382">
        <f t="shared" si="38"/>
        <v>0</v>
      </c>
      <c r="J295" s="160">
        <f>ROUND(F295*(1+'Información general'!$F$10),0)</f>
        <v>0</v>
      </c>
      <c r="K295" s="160">
        <f t="shared" si="43"/>
        <v>0</v>
      </c>
      <c r="L295" s="177">
        <f t="shared" si="39"/>
        <v>0</v>
      </c>
      <c r="M295" s="382">
        <f t="shared" si="40"/>
        <v>0</v>
      </c>
      <c r="N295" s="161">
        <f t="shared" si="44"/>
        <v>0</v>
      </c>
      <c r="O295" s="75"/>
      <c r="P295" s="54">
        <f t="shared" si="45"/>
        <v>0</v>
      </c>
    </row>
    <row r="296" spans="1:16" ht="14.25" hidden="1">
      <c r="A296" s="54">
        <f>IF(J296=0,0,IF(J296&lt;'Información general'!$F$13*2,H296,0))</f>
        <v>0</v>
      </c>
      <c r="B296" s="378"/>
      <c r="C296" s="174"/>
      <c r="D296" s="380"/>
      <c r="E296" s="381"/>
      <c r="F296" s="175"/>
      <c r="G296" s="309">
        <f t="shared" si="41"/>
        <v>0</v>
      </c>
      <c r="H296" s="382">
        <f t="shared" si="42"/>
        <v>0</v>
      </c>
      <c r="I296" s="382">
        <f t="shared" si="38"/>
        <v>0</v>
      </c>
      <c r="J296" s="160">
        <f>ROUND(F296*(1+'Información general'!$F$10),0)</f>
        <v>0</v>
      </c>
      <c r="K296" s="160">
        <f t="shared" si="43"/>
        <v>0</v>
      </c>
      <c r="L296" s="177">
        <f t="shared" si="39"/>
        <v>0</v>
      </c>
      <c r="M296" s="382">
        <f t="shared" si="40"/>
        <v>0</v>
      </c>
      <c r="N296" s="161">
        <f t="shared" si="44"/>
        <v>0</v>
      </c>
      <c r="O296" s="75"/>
      <c r="P296" s="54">
        <f t="shared" si="45"/>
        <v>0</v>
      </c>
    </row>
    <row r="297" spans="1:16" ht="14.25" hidden="1">
      <c r="A297" s="54">
        <f>IF(J297=0,0,IF(J297&lt;'Información general'!$F$13*2,H297,0))</f>
        <v>0</v>
      </c>
      <c r="B297" s="378"/>
      <c r="C297" s="174"/>
      <c r="D297" s="380"/>
      <c r="E297" s="381"/>
      <c r="F297" s="175"/>
      <c r="G297" s="309">
        <f t="shared" si="41"/>
        <v>0</v>
      </c>
      <c r="H297" s="382">
        <f t="shared" si="42"/>
        <v>0</v>
      </c>
      <c r="I297" s="382">
        <f t="shared" si="38"/>
        <v>0</v>
      </c>
      <c r="J297" s="160">
        <f>ROUND(F297*(1+'Información general'!$F$10),0)</f>
        <v>0</v>
      </c>
      <c r="K297" s="160">
        <f t="shared" si="43"/>
        <v>0</v>
      </c>
      <c r="L297" s="177">
        <f t="shared" si="39"/>
        <v>0</v>
      </c>
      <c r="M297" s="382">
        <f t="shared" si="40"/>
        <v>0</v>
      </c>
      <c r="N297" s="161">
        <f t="shared" si="44"/>
        <v>0</v>
      </c>
      <c r="O297" s="75"/>
      <c r="P297" s="54">
        <f t="shared" si="45"/>
        <v>0</v>
      </c>
    </row>
    <row r="298" spans="1:16" ht="14.25" hidden="1">
      <c r="A298" s="54">
        <f>IF(J298=0,0,IF(J298&lt;'Información general'!$F$13*2,H298,0))</f>
        <v>0</v>
      </c>
      <c r="B298" s="378"/>
      <c r="C298" s="174"/>
      <c r="D298" s="380"/>
      <c r="E298" s="381"/>
      <c r="F298" s="175"/>
      <c r="G298" s="309">
        <f t="shared" si="41"/>
        <v>0</v>
      </c>
      <c r="H298" s="382">
        <f t="shared" si="42"/>
        <v>0</v>
      </c>
      <c r="I298" s="382">
        <f t="shared" si="38"/>
        <v>0</v>
      </c>
      <c r="J298" s="160">
        <f>ROUND(F298*(1+'Información general'!$F$10),0)</f>
        <v>0</v>
      </c>
      <c r="K298" s="160">
        <f t="shared" si="43"/>
        <v>0</v>
      </c>
      <c r="L298" s="177">
        <f t="shared" si="39"/>
        <v>0</v>
      </c>
      <c r="M298" s="382">
        <f t="shared" si="40"/>
        <v>0</v>
      </c>
      <c r="N298" s="161">
        <f t="shared" si="44"/>
        <v>0</v>
      </c>
      <c r="O298" s="75"/>
      <c r="P298" s="54">
        <f t="shared" si="45"/>
        <v>0</v>
      </c>
    </row>
    <row r="299" spans="1:16" ht="14.25" hidden="1">
      <c r="A299" s="54">
        <f>IF(J299=0,0,IF(J299&lt;'Información general'!$F$13*2,H299,0))</f>
        <v>0</v>
      </c>
      <c r="B299" s="378"/>
      <c r="C299" s="174"/>
      <c r="D299" s="380"/>
      <c r="E299" s="381"/>
      <c r="F299" s="175"/>
      <c r="G299" s="309">
        <f t="shared" si="41"/>
        <v>0</v>
      </c>
      <c r="H299" s="382">
        <f t="shared" si="42"/>
        <v>0</v>
      </c>
      <c r="I299" s="382">
        <f t="shared" si="38"/>
        <v>0</v>
      </c>
      <c r="J299" s="160">
        <f>ROUND(F299*(1+'Información general'!$F$10),0)</f>
        <v>0</v>
      </c>
      <c r="K299" s="160">
        <f t="shared" si="43"/>
        <v>0</v>
      </c>
      <c r="L299" s="177">
        <f t="shared" si="39"/>
        <v>0</v>
      </c>
      <c r="M299" s="382">
        <f t="shared" si="40"/>
        <v>0</v>
      </c>
      <c r="N299" s="161">
        <f t="shared" si="44"/>
        <v>0</v>
      </c>
      <c r="O299" s="75"/>
      <c r="P299" s="54">
        <f t="shared" si="45"/>
        <v>0</v>
      </c>
    </row>
    <row r="300" spans="1:16" ht="14.25" hidden="1">
      <c r="A300" s="54">
        <f>IF(J300=0,0,IF(J300&lt;'Información general'!$F$13*2,H300,0))</f>
        <v>0</v>
      </c>
      <c r="B300" s="378"/>
      <c r="C300" s="174"/>
      <c r="D300" s="380"/>
      <c r="E300" s="381"/>
      <c r="F300" s="175"/>
      <c r="G300" s="309">
        <f t="shared" si="41"/>
        <v>0</v>
      </c>
      <c r="H300" s="382">
        <f t="shared" si="42"/>
        <v>0</v>
      </c>
      <c r="I300" s="382">
        <f t="shared" si="38"/>
        <v>0</v>
      </c>
      <c r="J300" s="160">
        <f>ROUND(F300*(1+'Información general'!$F$10),0)</f>
        <v>0</v>
      </c>
      <c r="K300" s="160">
        <f t="shared" si="43"/>
        <v>0</v>
      </c>
      <c r="L300" s="177">
        <f t="shared" si="39"/>
        <v>0</v>
      </c>
      <c r="M300" s="382">
        <f t="shared" si="40"/>
        <v>0</v>
      </c>
      <c r="N300" s="161">
        <f t="shared" si="44"/>
        <v>0</v>
      </c>
      <c r="O300" s="75"/>
      <c r="P300" s="54">
        <f t="shared" si="45"/>
        <v>0</v>
      </c>
    </row>
    <row r="301" spans="1:16" ht="14.25" hidden="1">
      <c r="A301" s="54">
        <f>IF(J301=0,0,IF(J301&lt;'Información general'!$F$13*2,H301,0))</f>
        <v>0</v>
      </c>
      <c r="B301" s="378"/>
      <c r="C301" s="174"/>
      <c r="D301" s="380"/>
      <c r="E301" s="381"/>
      <c r="F301" s="175"/>
      <c r="G301" s="309">
        <f t="shared" si="41"/>
        <v>0</v>
      </c>
      <c r="H301" s="382">
        <f t="shared" si="42"/>
        <v>0</v>
      </c>
      <c r="I301" s="382">
        <f aca="true" t="shared" si="46" ref="I301:I311">+E301</f>
        <v>0</v>
      </c>
      <c r="J301" s="160">
        <f>ROUND(F301*(1+'Información general'!$F$10),0)</f>
        <v>0</v>
      </c>
      <c r="K301" s="160">
        <f t="shared" si="43"/>
        <v>0</v>
      </c>
      <c r="L301" s="177">
        <f aca="true" t="shared" si="47" ref="L301:L311">IF(H301=0,0,ROUND((IF(G301=0," ",+(J301/F301-1)*100)),3))/100</f>
        <v>0</v>
      </c>
      <c r="M301" s="382">
        <f aca="true" t="shared" si="48" ref="M301:M311">+IF(H301&gt;0,12,0)</f>
        <v>0</v>
      </c>
      <c r="N301" s="161">
        <f t="shared" si="44"/>
        <v>0</v>
      </c>
      <c r="O301" s="75"/>
      <c r="P301" s="54">
        <f t="shared" si="45"/>
        <v>0</v>
      </c>
    </row>
    <row r="302" spans="1:16" ht="14.25" hidden="1">
      <c r="A302" s="54">
        <f>IF(J302=0,0,IF(J302&lt;'Información general'!$F$13*2,H302,0))</f>
        <v>0</v>
      </c>
      <c r="B302" s="378"/>
      <c r="C302" s="174"/>
      <c r="D302" s="380"/>
      <c r="E302" s="381"/>
      <c r="F302" s="175"/>
      <c r="G302" s="309">
        <f aca="true" t="shared" si="49" ref="G302:G311">+D302*F302</f>
        <v>0</v>
      </c>
      <c r="H302" s="382">
        <f aca="true" t="shared" si="50" ref="H302:H311">D302</f>
        <v>0</v>
      </c>
      <c r="I302" s="382">
        <f t="shared" si="46"/>
        <v>0</v>
      </c>
      <c r="J302" s="160">
        <f>ROUND(F302*(1+'Información general'!$F$10),0)</f>
        <v>0</v>
      </c>
      <c r="K302" s="160">
        <f aca="true" t="shared" si="51" ref="K302:K311">+H302*J302</f>
        <v>0</v>
      </c>
      <c r="L302" s="177">
        <f t="shared" si="47"/>
        <v>0</v>
      </c>
      <c r="M302" s="382">
        <f t="shared" si="48"/>
        <v>0</v>
      </c>
      <c r="N302" s="161">
        <f aca="true" t="shared" si="52" ref="N302:N311">+K302*M302</f>
        <v>0</v>
      </c>
      <c r="O302" s="75"/>
      <c r="P302" s="54">
        <f t="shared" si="45"/>
        <v>0</v>
      </c>
    </row>
    <row r="303" spans="1:16" ht="14.25" hidden="1">
      <c r="A303" s="54">
        <f>IF(J303=0,0,IF(J303&lt;'Información general'!$F$13*2,H303,0))</f>
        <v>0</v>
      </c>
      <c r="B303" s="378"/>
      <c r="C303" s="174"/>
      <c r="D303" s="380"/>
      <c r="E303" s="381"/>
      <c r="F303" s="175"/>
      <c r="G303" s="309">
        <f t="shared" si="49"/>
        <v>0</v>
      </c>
      <c r="H303" s="382">
        <f t="shared" si="50"/>
        <v>0</v>
      </c>
      <c r="I303" s="382">
        <f t="shared" si="46"/>
        <v>0</v>
      </c>
      <c r="J303" s="160">
        <f>ROUND(F303*(1+'Información general'!$F$10),0)</f>
        <v>0</v>
      </c>
      <c r="K303" s="160">
        <f t="shared" si="51"/>
        <v>0</v>
      </c>
      <c r="L303" s="177">
        <f t="shared" si="47"/>
        <v>0</v>
      </c>
      <c r="M303" s="382">
        <f t="shared" si="48"/>
        <v>0</v>
      </c>
      <c r="N303" s="161">
        <f t="shared" si="52"/>
        <v>0</v>
      </c>
      <c r="O303" s="75"/>
      <c r="P303" s="54">
        <f t="shared" si="45"/>
        <v>0</v>
      </c>
    </row>
    <row r="304" spans="1:16" ht="14.25" hidden="1">
      <c r="A304" s="54">
        <f>IF(J304=0,0,IF(J304&lt;'Información general'!$F$13*2,H304,0))</f>
        <v>0</v>
      </c>
      <c r="B304" s="378"/>
      <c r="C304" s="174"/>
      <c r="D304" s="380"/>
      <c r="E304" s="381"/>
      <c r="F304" s="175"/>
      <c r="G304" s="309">
        <f t="shared" si="49"/>
        <v>0</v>
      </c>
      <c r="H304" s="382">
        <f t="shared" si="50"/>
        <v>0</v>
      </c>
      <c r="I304" s="382">
        <f t="shared" si="46"/>
        <v>0</v>
      </c>
      <c r="J304" s="160">
        <f>ROUND(F304*(1+'Información general'!$F$10),0)</f>
        <v>0</v>
      </c>
      <c r="K304" s="160">
        <f t="shared" si="51"/>
        <v>0</v>
      </c>
      <c r="L304" s="177">
        <f t="shared" si="47"/>
        <v>0</v>
      </c>
      <c r="M304" s="382">
        <f t="shared" si="48"/>
        <v>0</v>
      </c>
      <c r="N304" s="161">
        <f t="shared" si="52"/>
        <v>0</v>
      </c>
      <c r="O304" s="75"/>
      <c r="P304" s="54">
        <f t="shared" si="45"/>
        <v>0</v>
      </c>
    </row>
    <row r="305" spans="1:16" ht="14.25" hidden="1">
      <c r="A305" s="54">
        <f>IF(J305=0,0,IF(J305&lt;'Información general'!$F$13*2,H305,0))</f>
        <v>0</v>
      </c>
      <c r="B305" s="378"/>
      <c r="C305" s="174"/>
      <c r="D305" s="380"/>
      <c r="E305" s="381"/>
      <c r="F305" s="175"/>
      <c r="G305" s="309">
        <f t="shared" si="49"/>
        <v>0</v>
      </c>
      <c r="H305" s="382">
        <f t="shared" si="50"/>
        <v>0</v>
      </c>
      <c r="I305" s="382">
        <f t="shared" si="46"/>
        <v>0</v>
      </c>
      <c r="J305" s="160">
        <f>ROUND(F305*(1+'Información general'!$F$10),0)</f>
        <v>0</v>
      </c>
      <c r="K305" s="160">
        <f t="shared" si="51"/>
        <v>0</v>
      </c>
      <c r="L305" s="177">
        <f t="shared" si="47"/>
        <v>0</v>
      </c>
      <c r="M305" s="382">
        <f t="shared" si="48"/>
        <v>0</v>
      </c>
      <c r="N305" s="161">
        <f t="shared" si="52"/>
        <v>0</v>
      </c>
      <c r="O305" s="75"/>
      <c r="P305" s="54">
        <f t="shared" si="45"/>
        <v>0</v>
      </c>
    </row>
    <row r="306" spans="1:16" ht="14.25" hidden="1">
      <c r="A306" s="54">
        <f>IF(J306=0,0,IF(J306&lt;'Información general'!$F$13*2,H306,0))</f>
        <v>0</v>
      </c>
      <c r="B306" s="378"/>
      <c r="C306" s="174"/>
      <c r="D306" s="380"/>
      <c r="E306" s="381"/>
      <c r="F306" s="175"/>
      <c r="G306" s="309">
        <f t="shared" si="49"/>
        <v>0</v>
      </c>
      <c r="H306" s="382">
        <f t="shared" si="50"/>
        <v>0</v>
      </c>
      <c r="I306" s="382">
        <f t="shared" si="46"/>
        <v>0</v>
      </c>
      <c r="J306" s="160">
        <f>ROUND(F306*(1+'Información general'!$F$10),0)</f>
        <v>0</v>
      </c>
      <c r="K306" s="160">
        <f t="shared" si="51"/>
        <v>0</v>
      </c>
      <c r="L306" s="177">
        <f t="shared" si="47"/>
        <v>0</v>
      </c>
      <c r="M306" s="382">
        <f t="shared" si="48"/>
        <v>0</v>
      </c>
      <c r="N306" s="161">
        <f t="shared" si="52"/>
        <v>0</v>
      </c>
      <c r="O306" s="75"/>
      <c r="P306" s="54">
        <f t="shared" si="45"/>
        <v>0</v>
      </c>
    </row>
    <row r="307" spans="1:16" ht="14.25" hidden="1">
      <c r="A307" s="54">
        <f>IF(J307=0,0,IF(J307&lt;'Información general'!$F$13*2,H307,0))</f>
        <v>0</v>
      </c>
      <c r="B307" s="378"/>
      <c r="C307" s="174"/>
      <c r="D307" s="380"/>
      <c r="E307" s="381"/>
      <c r="F307" s="175"/>
      <c r="G307" s="309">
        <f t="shared" si="49"/>
        <v>0</v>
      </c>
      <c r="H307" s="382">
        <f t="shared" si="50"/>
        <v>0</v>
      </c>
      <c r="I307" s="382">
        <f t="shared" si="46"/>
        <v>0</v>
      </c>
      <c r="J307" s="160">
        <f>ROUND(F307*(1+'Información general'!$F$10),0)</f>
        <v>0</v>
      </c>
      <c r="K307" s="160">
        <f t="shared" si="51"/>
        <v>0</v>
      </c>
      <c r="L307" s="177">
        <f t="shared" si="47"/>
        <v>0</v>
      </c>
      <c r="M307" s="382">
        <f t="shared" si="48"/>
        <v>0</v>
      </c>
      <c r="N307" s="161">
        <f t="shared" si="52"/>
        <v>0</v>
      </c>
      <c r="O307" s="75"/>
      <c r="P307" s="54">
        <f t="shared" si="45"/>
        <v>0</v>
      </c>
    </row>
    <row r="308" spans="1:16" ht="14.25" hidden="1">
      <c r="A308" s="54">
        <f>IF(J308=0,0,IF(J308&lt;'Información general'!$F$13*2,H308,0))</f>
        <v>0</v>
      </c>
      <c r="B308" s="378"/>
      <c r="C308" s="174"/>
      <c r="D308" s="380"/>
      <c r="E308" s="381"/>
      <c r="F308" s="175"/>
      <c r="G308" s="309">
        <f t="shared" si="49"/>
        <v>0</v>
      </c>
      <c r="H308" s="382">
        <f t="shared" si="50"/>
        <v>0</v>
      </c>
      <c r="I308" s="382">
        <f t="shared" si="46"/>
        <v>0</v>
      </c>
      <c r="J308" s="160">
        <f>ROUND(F308*(1+'Información general'!$F$10),0)</f>
        <v>0</v>
      </c>
      <c r="K308" s="160">
        <f t="shared" si="51"/>
        <v>0</v>
      </c>
      <c r="L308" s="177">
        <f t="shared" si="47"/>
        <v>0</v>
      </c>
      <c r="M308" s="382">
        <f t="shared" si="48"/>
        <v>0</v>
      </c>
      <c r="N308" s="161">
        <f t="shared" si="52"/>
        <v>0</v>
      </c>
      <c r="O308" s="75"/>
      <c r="P308" s="54">
        <f t="shared" si="45"/>
        <v>0</v>
      </c>
    </row>
    <row r="309" spans="1:16" ht="14.25" hidden="1">
      <c r="A309" s="54">
        <f>IF(J309=0,0,IF(J309&lt;'Información general'!$F$13*2,H309,0))</f>
        <v>0</v>
      </c>
      <c r="B309" s="378"/>
      <c r="C309" s="174"/>
      <c r="D309" s="380"/>
      <c r="E309" s="381"/>
      <c r="F309" s="175"/>
      <c r="G309" s="309">
        <f t="shared" si="49"/>
        <v>0</v>
      </c>
      <c r="H309" s="382">
        <f t="shared" si="50"/>
        <v>0</v>
      </c>
      <c r="I309" s="382">
        <f t="shared" si="46"/>
        <v>0</v>
      </c>
      <c r="J309" s="160">
        <f>ROUND(F309*(1+'Información general'!$F$10),0)</f>
        <v>0</v>
      </c>
      <c r="K309" s="160">
        <f t="shared" si="51"/>
        <v>0</v>
      </c>
      <c r="L309" s="177">
        <f t="shared" si="47"/>
        <v>0</v>
      </c>
      <c r="M309" s="382">
        <f t="shared" si="48"/>
        <v>0</v>
      </c>
      <c r="N309" s="161">
        <f t="shared" si="52"/>
        <v>0</v>
      </c>
      <c r="O309" s="75"/>
      <c r="P309" s="54">
        <f t="shared" si="45"/>
        <v>0</v>
      </c>
    </row>
    <row r="310" spans="1:16" ht="14.25" hidden="1">
      <c r="A310" s="54">
        <f>IF(J310=0,0,IF(J310&lt;'Información general'!$F$13*2,H310,0))</f>
        <v>0</v>
      </c>
      <c r="B310" s="378"/>
      <c r="C310" s="174"/>
      <c r="D310" s="380"/>
      <c r="E310" s="381"/>
      <c r="F310" s="175"/>
      <c r="G310" s="309">
        <f t="shared" si="49"/>
        <v>0</v>
      </c>
      <c r="H310" s="382">
        <f t="shared" si="50"/>
        <v>0</v>
      </c>
      <c r="I310" s="382">
        <f t="shared" si="46"/>
        <v>0</v>
      </c>
      <c r="J310" s="160">
        <f>ROUND(F310*(1+'Información general'!$F$10),0)</f>
        <v>0</v>
      </c>
      <c r="K310" s="160">
        <f t="shared" si="51"/>
        <v>0</v>
      </c>
      <c r="L310" s="177">
        <f t="shared" si="47"/>
        <v>0</v>
      </c>
      <c r="M310" s="382">
        <f t="shared" si="48"/>
        <v>0</v>
      </c>
      <c r="N310" s="161">
        <f t="shared" si="52"/>
        <v>0</v>
      </c>
      <c r="O310" s="75"/>
      <c r="P310" s="54">
        <f t="shared" si="45"/>
        <v>0</v>
      </c>
    </row>
    <row r="311" spans="1:16" ht="15" hidden="1" thickBot="1">
      <c r="A311" s="54">
        <f>IF(J311=0,0,IF(J311&lt;'Información general'!$F$13*2,H311,0))</f>
        <v>0</v>
      </c>
      <c r="B311" s="378"/>
      <c r="C311" s="174"/>
      <c r="D311" s="380"/>
      <c r="E311" s="381"/>
      <c r="F311" s="175"/>
      <c r="G311" s="309">
        <f t="shared" si="49"/>
        <v>0</v>
      </c>
      <c r="H311" s="382">
        <f t="shared" si="50"/>
        <v>0</v>
      </c>
      <c r="I311" s="382">
        <f t="shared" si="46"/>
        <v>0</v>
      </c>
      <c r="J311" s="160">
        <f>ROUND(F311*(1+'Información general'!$F$10),0)</f>
        <v>0</v>
      </c>
      <c r="K311" s="160">
        <f t="shared" si="51"/>
        <v>0</v>
      </c>
      <c r="L311" s="177">
        <f t="shared" si="47"/>
        <v>0</v>
      </c>
      <c r="M311" s="382">
        <f t="shared" si="48"/>
        <v>0</v>
      </c>
      <c r="N311" s="161">
        <f t="shared" si="52"/>
        <v>0</v>
      </c>
      <c r="O311" s="75"/>
      <c r="P311" s="54">
        <f t="shared" si="45"/>
        <v>0</v>
      </c>
    </row>
    <row r="312" spans="1:16" s="166" customFormat="1" ht="17.25" thickBot="1">
      <c r="A312" s="166">
        <f>+SUM(A118:A311)</f>
        <v>2</v>
      </c>
      <c r="B312" s="162" t="s">
        <v>349</v>
      </c>
      <c r="C312" s="163"/>
      <c r="D312" s="164">
        <f>SUM(D117:D311)</f>
        <v>28</v>
      </c>
      <c r="E312" s="719"/>
      <c r="F312" s="720"/>
      <c r="G312" s="164">
        <f>SUM(G117:G311)</f>
        <v>100840669.5899232</v>
      </c>
      <c r="H312" s="164">
        <f>SUM(H117:H311)</f>
        <v>28</v>
      </c>
      <c r="I312" s="719"/>
      <c r="J312" s="720"/>
      <c r="K312" s="164">
        <f>SUM(K117:K311)</f>
        <v>105882704</v>
      </c>
      <c r="L312" s="721"/>
      <c r="M312" s="722"/>
      <c r="N312" s="165">
        <f>SUM(N117:N311)</f>
        <v>1270592448</v>
      </c>
      <c r="P312" s="54">
        <v>1</v>
      </c>
    </row>
    <row r="313" spans="2:16" s="166" customFormat="1" ht="13.5" thickBot="1">
      <c r="B313" s="167"/>
      <c r="C313" s="168"/>
      <c r="D313" s="168"/>
      <c r="E313" s="168"/>
      <c r="F313" s="168"/>
      <c r="G313" s="168"/>
      <c r="H313" s="168"/>
      <c r="I313" s="168"/>
      <c r="J313" s="168"/>
      <c r="K313" s="168"/>
      <c r="L313" s="168"/>
      <c r="M313" s="168"/>
      <c r="N313" s="169"/>
      <c r="P313" s="54">
        <v>1</v>
      </c>
    </row>
    <row r="314" spans="2:16" ht="18.75" thickBot="1">
      <c r="B314" s="561" t="s">
        <v>350</v>
      </c>
      <c r="C314" s="562"/>
      <c r="D314" s="164">
        <f>+D312+D114</f>
        <v>36</v>
      </c>
      <c r="E314" s="719"/>
      <c r="F314" s="720"/>
      <c r="G314" s="164">
        <f>+G312+G114</f>
        <v>145064337.88071457</v>
      </c>
      <c r="H314" s="164">
        <f>+H312+H114</f>
        <v>36</v>
      </c>
      <c r="I314" s="719"/>
      <c r="J314" s="720"/>
      <c r="K314" s="164">
        <f>+K312+K114</f>
        <v>152317554</v>
      </c>
      <c r="L314" s="721"/>
      <c r="M314" s="722"/>
      <c r="N314" s="165">
        <f>+N312+N114</f>
        <v>1827810648</v>
      </c>
      <c r="P314" s="54">
        <v>1</v>
      </c>
    </row>
    <row r="315" spans="2:16" ht="12.75">
      <c r="B315" s="554"/>
      <c r="C315" s="555"/>
      <c r="D315" s="556"/>
      <c r="E315" s="556"/>
      <c r="F315" s="556"/>
      <c r="G315" s="556"/>
      <c r="H315" s="556"/>
      <c r="I315" s="556"/>
      <c r="J315" s="556"/>
      <c r="K315" s="556"/>
      <c r="L315" s="557"/>
      <c r="M315" s="556"/>
      <c r="N315" s="558"/>
      <c r="P315" s="54">
        <v>1</v>
      </c>
    </row>
    <row r="316" spans="2:14" ht="58.5" customHeight="1">
      <c r="B316" s="700" t="s">
        <v>637</v>
      </c>
      <c r="C316" s="701"/>
      <c r="D316" s="701"/>
      <c r="E316" s="701"/>
      <c r="F316" s="701"/>
      <c r="G316" s="701"/>
      <c r="H316" s="701"/>
      <c r="I316" s="701"/>
      <c r="J316" s="701"/>
      <c r="K316" s="701"/>
      <c r="L316" s="701"/>
      <c r="M316" s="701"/>
      <c r="N316" s="702"/>
    </row>
    <row r="317" spans="2:16" ht="60.75" customHeight="1">
      <c r="B317" s="700" t="s">
        <v>633</v>
      </c>
      <c r="C317" s="701"/>
      <c r="D317" s="701"/>
      <c r="E317" s="701"/>
      <c r="F317" s="701"/>
      <c r="G317" s="701"/>
      <c r="H317" s="701"/>
      <c r="I317" s="701"/>
      <c r="J317" s="701"/>
      <c r="K317" s="701"/>
      <c r="L317" s="701"/>
      <c r="M317" s="701"/>
      <c r="N317" s="702"/>
      <c r="P317" s="54">
        <v>1</v>
      </c>
    </row>
    <row r="318" spans="2:14" ht="40.5" customHeight="1">
      <c r="B318" s="703" t="s">
        <v>636</v>
      </c>
      <c r="C318" s="704"/>
      <c r="D318" s="704"/>
      <c r="E318" s="704"/>
      <c r="F318" s="704"/>
      <c r="G318" s="704"/>
      <c r="H318" s="704"/>
      <c r="I318" s="704"/>
      <c r="J318" s="704"/>
      <c r="K318" s="704"/>
      <c r="L318" s="704"/>
      <c r="M318" s="704"/>
      <c r="N318" s="705"/>
    </row>
    <row r="319" spans="2:14" ht="9.75" customHeight="1">
      <c r="B319" s="700"/>
      <c r="C319" s="701"/>
      <c r="D319" s="701"/>
      <c r="E319" s="701"/>
      <c r="F319" s="701"/>
      <c r="G319" s="701"/>
      <c r="H319" s="701"/>
      <c r="I319" s="701"/>
      <c r="J319" s="701"/>
      <c r="K319" s="701"/>
      <c r="L319" s="701"/>
      <c r="M319" s="701"/>
      <c r="N319" s="702"/>
    </row>
    <row r="320" spans="2:14" ht="9.75" customHeight="1">
      <c r="B320" s="563"/>
      <c r="C320" s="564"/>
      <c r="D320" s="564"/>
      <c r="E320" s="564"/>
      <c r="F320" s="564"/>
      <c r="G320" s="564"/>
      <c r="H320" s="564"/>
      <c r="I320" s="564"/>
      <c r="J320" s="564"/>
      <c r="K320" s="564"/>
      <c r="L320" s="564"/>
      <c r="M320" s="564"/>
      <c r="N320" s="565"/>
    </row>
    <row r="321" spans="2:14" ht="9.75" customHeight="1">
      <c r="B321" s="563"/>
      <c r="C321" s="564"/>
      <c r="D321" s="564"/>
      <c r="E321" s="564"/>
      <c r="F321" s="564"/>
      <c r="G321" s="564"/>
      <c r="H321" s="564"/>
      <c r="I321" s="564"/>
      <c r="J321" s="564"/>
      <c r="K321" s="564"/>
      <c r="L321" s="564"/>
      <c r="M321" s="564"/>
      <c r="N321" s="565"/>
    </row>
    <row r="322" spans="2:14" ht="35.25" customHeight="1">
      <c r="B322" s="708"/>
      <c r="C322" s="709"/>
      <c r="D322" s="709"/>
      <c r="E322" s="709"/>
      <c r="F322" s="709"/>
      <c r="G322" s="564"/>
      <c r="H322" s="564"/>
      <c r="I322" s="564"/>
      <c r="J322" s="564"/>
      <c r="K322" s="564"/>
      <c r="L322" s="564"/>
      <c r="M322" s="564"/>
      <c r="N322" s="565"/>
    </row>
    <row r="323" spans="2:16" ht="36" customHeight="1" thickBot="1">
      <c r="B323" s="706" t="str">
        <f>+CONCATENATE("GERENTE ESE HOSPITAL ",'Información general'!B4," - ",'Información general'!B3,)</f>
        <v>GERENTE ESE HOSPITAL ESE HOSPITAL SAN RAFAEL DE ITAGUI - ITAGUI</v>
      </c>
      <c r="C323" s="707"/>
      <c r="D323" s="707"/>
      <c r="E323" s="707"/>
      <c r="F323" s="707"/>
      <c r="G323" s="559"/>
      <c r="H323" s="559"/>
      <c r="I323" s="559"/>
      <c r="J323" s="559"/>
      <c r="K323" s="559"/>
      <c r="L323" s="559"/>
      <c r="M323" s="559"/>
      <c r="N323" s="560"/>
      <c r="P323" s="54">
        <v>1</v>
      </c>
    </row>
    <row r="324" spans="12:14" ht="38.25" customHeight="1">
      <c r="L324" s="171"/>
      <c r="M324" s="172"/>
      <c r="N324" s="172"/>
    </row>
    <row r="325" spans="12:14" ht="12.75" hidden="1">
      <c r="L325" s="171"/>
      <c r="M325" s="172"/>
      <c r="N325" s="172"/>
    </row>
    <row r="326" spans="12:14" ht="12.75" hidden="1">
      <c r="L326" s="171"/>
      <c r="M326" s="172"/>
      <c r="N326" s="172"/>
    </row>
    <row r="327" spans="12:14" ht="12.75" hidden="1">
      <c r="L327" s="171"/>
      <c r="M327" s="172"/>
      <c r="N327" s="172"/>
    </row>
    <row r="328" spans="12:14" ht="12.75" hidden="1">
      <c r="L328" s="171"/>
      <c r="M328" s="172"/>
      <c r="N328" s="172"/>
    </row>
    <row r="329" spans="12:14" ht="12.75" hidden="1">
      <c r="L329" s="171"/>
      <c r="M329" s="172"/>
      <c r="N329" s="172"/>
    </row>
    <row r="330" spans="12:14" ht="12.75" hidden="1">
      <c r="L330" s="171"/>
      <c r="M330" s="172"/>
      <c r="N330" s="172"/>
    </row>
    <row r="331" spans="12:14" ht="12.75" hidden="1">
      <c r="L331" s="171"/>
      <c r="M331" s="172"/>
      <c r="N331" s="172"/>
    </row>
    <row r="332" spans="12:14" ht="12.75" hidden="1">
      <c r="L332" s="171"/>
      <c r="M332" s="172"/>
      <c r="N332" s="172"/>
    </row>
    <row r="333" spans="12:14" ht="12.75" hidden="1">
      <c r="L333" s="171"/>
      <c r="M333" s="172"/>
      <c r="N333" s="172"/>
    </row>
    <row r="334" spans="12:14" ht="12.75" hidden="1">
      <c r="L334" s="171"/>
      <c r="M334" s="172"/>
      <c r="N334" s="172"/>
    </row>
    <row r="335" spans="12:14" ht="12.75" hidden="1">
      <c r="L335" s="171"/>
      <c r="M335" s="172"/>
      <c r="N335" s="172"/>
    </row>
    <row r="336" spans="12:14" ht="12.75" hidden="1">
      <c r="L336" s="171"/>
      <c r="M336" s="172"/>
      <c r="N336" s="172"/>
    </row>
    <row r="337" spans="12:14" ht="12.75" hidden="1">
      <c r="L337" s="171"/>
      <c r="M337" s="172"/>
      <c r="N337" s="172"/>
    </row>
    <row r="338" spans="12:14" ht="12.75" hidden="1">
      <c r="L338" s="171"/>
      <c r="M338" s="172"/>
      <c r="N338" s="172"/>
    </row>
    <row r="339" spans="12:14" ht="12.75" hidden="1">
      <c r="L339" s="171"/>
      <c r="M339" s="172"/>
      <c r="N339" s="172"/>
    </row>
    <row r="340" spans="12:14" ht="12.75" hidden="1">
      <c r="L340" s="171"/>
      <c r="M340" s="172"/>
      <c r="N340" s="172"/>
    </row>
    <row r="341" spans="12:14" ht="12.75" hidden="1">
      <c r="L341" s="171"/>
      <c r="M341" s="172"/>
      <c r="N341" s="172"/>
    </row>
    <row r="342" spans="12:14" ht="12.75" hidden="1">
      <c r="L342" s="171"/>
      <c r="M342" s="172"/>
      <c r="N342" s="172"/>
    </row>
    <row r="343" spans="12:14" ht="12.75" hidden="1">
      <c r="L343" s="171"/>
      <c r="M343" s="172"/>
      <c r="N343" s="172"/>
    </row>
    <row r="344" spans="12:14" ht="12.75" hidden="1">
      <c r="L344" s="171"/>
      <c r="M344" s="172"/>
      <c r="N344" s="172"/>
    </row>
    <row r="345" spans="12:14" ht="12.75" hidden="1">
      <c r="L345" s="171"/>
      <c r="M345" s="172"/>
      <c r="N345" s="172"/>
    </row>
    <row r="346" spans="12:14" ht="12.75" hidden="1">
      <c r="L346" s="171"/>
      <c r="M346" s="172"/>
      <c r="N346" s="172"/>
    </row>
    <row r="347" spans="12:14" ht="12.75" hidden="1">
      <c r="L347" s="171"/>
      <c r="M347" s="172"/>
      <c r="N347" s="172"/>
    </row>
    <row r="348" spans="12:14" ht="12.75" hidden="1">
      <c r="L348" s="171"/>
      <c r="M348" s="172"/>
      <c r="N348" s="172"/>
    </row>
    <row r="349" spans="12:14" ht="12.75" hidden="1">
      <c r="L349" s="171"/>
      <c r="M349" s="172"/>
      <c r="N349" s="172"/>
    </row>
    <row r="350" spans="12:14" ht="12.75" hidden="1">
      <c r="L350" s="171"/>
      <c r="M350" s="172"/>
      <c r="N350" s="172"/>
    </row>
    <row r="351" spans="12:14" ht="12.75" hidden="1">
      <c r="L351" s="171"/>
      <c r="M351" s="172"/>
      <c r="N351" s="172"/>
    </row>
    <row r="352" spans="12:14" ht="12.75" hidden="1">
      <c r="L352" s="171"/>
      <c r="M352" s="172"/>
      <c r="N352" s="172"/>
    </row>
    <row r="353" spans="12:14" ht="12.75" hidden="1">
      <c r="L353" s="171"/>
      <c r="M353" s="172"/>
      <c r="N353" s="172"/>
    </row>
    <row r="354" spans="12:14" ht="12.75" hidden="1">
      <c r="L354" s="171"/>
      <c r="M354" s="172"/>
      <c r="N354" s="172"/>
    </row>
    <row r="355" spans="12:14" ht="12.75" hidden="1">
      <c r="L355" s="171"/>
      <c r="M355" s="172"/>
      <c r="N355" s="172"/>
    </row>
    <row r="356" spans="12:14" ht="12.75" hidden="1">
      <c r="L356" s="171"/>
      <c r="M356" s="172"/>
      <c r="N356" s="172"/>
    </row>
    <row r="357" spans="12:14" ht="12.75" hidden="1">
      <c r="L357" s="171"/>
      <c r="M357" s="172"/>
      <c r="N357" s="172"/>
    </row>
    <row r="358" spans="12:14" ht="12.75" hidden="1">
      <c r="L358" s="171"/>
      <c r="M358" s="172"/>
      <c r="N358" s="172"/>
    </row>
    <row r="359" spans="12:14" ht="12.75" hidden="1">
      <c r="L359" s="171"/>
      <c r="M359" s="172"/>
      <c r="N359" s="172"/>
    </row>
    <row r="360" spans="12:14" ht="12.75" hidden="1">
      <c r="L360" s="171"/>
      <c r="M360" s="172"/>
      <c r="N360" s="172"/>
    </row>
    <row r="361" spans="12:14" ht="12.75" hidden="1">
      <c r="L361" s="171"/>
      <c r="M361" s="172"/>
      <c r="N361" s="172"/>
    </row>
    <row r="362" spans="12:14" ht="12.75" hidden="1">
      <c r="L362" s="171"/>
      <c r="M362" s="172"/>
      <c r="N362" s="172"/>
    </row>
    <row r="363" ht="12.75" hidden="1">
      <c r="L363" s="171"/>
    </row>
    <row r="364" ht="12.75" hidden="1">
      <c r="L364" s="171"/>
    </row>
    <row r="365" ht="12.75" hidden="1">
      <c r="L365" s="171"/>
    </row>
    <row r="366" ht="12.75" hidden="1">
      <c r="L366" s="171"/>
    </row>
    <row r="367" ht="12.75" hidden="1">
      <c r="L367" s="171"/>
    </row>
    <row r="368" ht="12.75" hidden="1">
      <c r="L368" s="171"/>
    </row>
    <row r="369" ht="12.75" hidden="1">
      <c r="L369" s="171"/>
    </row>
    <row r="370" ht="12.75" hidden="1">
      <c r="L370" s="171"/>
    </row>
    <row r="371" ht="12.75" hidden="1">
      <c r="L371" s="171"/>
    </row>
    <row r="372" ht="12.75" hidden="1">
      <c r="L372" s="171"/>
    </row>
    <row r="373" ht="12.75" hidden="1">
      <c r="L373" s="171"/>
    </row>
    <row r="374" ht="12.75" hidden="1">
      <c r="L374" s="171"/>
    </row>
    <row r="375" ht="12.75" hidden="1">
      <c r="L375" s="171"/>
    </row>
    <row r="376" ht="12.75" hidden="1">
      <c r="L376" s="171"/>
    </row>
    <row r="377" ht="12.75" hidden="1">
      <c r="L377" s="171"/>
    </row>
    <row r="378" ht="12.75" hidden="1">
      <c r="L378" s="171"/>
    </row>
    <row r="379" ht="12.75" hidden="1">
      <c r="L379" s="171"/>
    </row>
    <row r="380" ht="12.75" hidden="1">
      <c r="L380" s="171"/>
    </row>
    <row r="381" ht="12.75" hidden="1">
      <c r="L381" s="171"/>
    </row>
    <row r="382" ht="12.75" hidden="1">
      <c r="L382" s="171"/>
    </row>
    <row r="383" ht="12.75" hidden="1">
      <c r="L383" s="171"/>
    </row>
    <row r="384" ht="12.75" hidden="1">
      <c r="L384" s="171"/>
    </row>
    <row r="385" ht="12.75" hidden="1">
      <c r="L385" s="171"/>
    </row>
    <row r="386" ht="12.75" hidden="1">
      <c r="L386" s="171"/>
    </row>
    <row r="387" ht="12.75" hidden="1">
      <c r="L387" s="171"/>
    </row>
    <row r="388" ht="13.5" hidden="1" thickBot="1">
      <c r="L388" s="171"/>
    </row>
    <row r="389" spans="2:12" ht="16.5" hidden="1" thickBot="1">
      <c r="B389" s="717" t="s">
        <v>229</v>
      </c>
      <c r="C389" s="718"/>
      <c r="L389" s="171"/>
    </row>
    <row r="390" spans="2:12" ht="12.75" hidden="1">
      <c r="B390" s="114"/>
      <c r="C390" s="115"/>
      <c r="L390" s="171"/>
    </row>
    <row r="391" spans="2:12" ht="12.75" hidden="1">
      <c r="B391" s="116" t="e">
        <f>CONCATENATE(C398," ",C397," ",C396)</f>
        <v>#VALUE!</v>
      </c>
      <c r="C391" s="117"/>
      <c r="L391" s="171"/>
    </row>
    <row r="392" spans="2:12" ht="12.75" hidden="1">
      <c r="B392" s="116"/>
      <c r="C392" s="117"/>
      <c r="L392" s="171"/>
    </row>
    <row r="393" spans="2:12" ht="12.75" hidden="1">
      <c r="B393" s="116"/>
      <c r="C393" s="117"/>
      <c r="L393" s="171"/>
    </row>
    <row r="394" spans="2:12" ht="12.75" hidden="1">
      <c r="B394" s="116"/>
      <c r="C394" s="178">
        <f>+N314</f>
        <v>1827810648</v>
      </c>
      <c r="L394" s="171"/>
    </row>
    <row r="395" spans="2:12" ht="12.75" hidden="1">
      <c r="B395" s="116">
        <f>LEN(C394)</f>
        <v>10</v>
      </c>
      <c r="C395" s="117"/>
      <c r="L395" s="171"/>
    </row>
    <row r="396" spans="2:12" ht="12.75" hidden="1">
      <c r="B396" s="116">
        <f>VALUE(RIGHT(C394,3))</f>
        <v>648</v>
      </c>
      <c r="C396" s="117" t="str">
        <f>IF(B396=100,"CIEN",CONCATENATE(VLOOKUP(B400,Numeros,2,FALSE)," ",VLOOKUP(C400,Numeros,2,FALSE)))</f>
        <v>SEICIENTOS CUARENTA Y OCHO</v>
      </c>
      <c r="L396" s="171"/>
    </row>
    <row r="397" spans="2:12" ht="12.75" hidden="1">
      <c r="B397" s="118" t="b">
        <f>IF(B395&lt;4,0,IF(B395=4,LEFT(C394,1),+IF(B395=5,LEFT(C394,2),+IF(B395=6,LEFT(C394,3),+IF(B395=7,MID(C394,2,3),+IF(B395=8,MID(C394,3,3),+IF(B395=9,MID(C394,4,3))))))))</f>
        <v>0</v>
      </c>
      <c r="C397" s="117" t="e">
        <f>IF(C394=1000,"MIL",IF(OR(B397="000",B397=0),"",CONCATENATE(IF(B397="100","CIEN",CONCATENATE(VLOOKUP(B401,Numeros,2,FALSE)," ",VLOOKUP(C401,Numeros,2,FALSE)))," MIL")))</f>
        <v>#VALUE!</v>
      </c>
      <c r="L397" s="171"/>
    </row>
    <row r="398" spans="2:12" ht="12.75" hidden="1">
      <c r="B398" s="116" t="e">
        <f>IF(B395&lt;7,0,VALUE(IF(B395=7,LEFT(C394,1),+IF(B395=8,LEFT(C394,2),+IF(B395=9,LEFT(C394,3))))))</f>
        <v>#VALUE!</v>
      </c>
      <c r="C398" s="117" t="e">
        <f>IF(B398=0,"",CONCATENATE(IF(B398=100,"CIEN",CONCATENATE(VLOOKUP(B402,Numeros,2,FALSE)," ",VLOOKUP(C402,Numeros,2,FALSE)))," MILLONES"))</f>
        <v>#VALUE!</v>
      </c>
      <c r="L398" s="171"/>
    </row>
    <row r="399" spans="2:12" ht="12.75" hidden="1">
      <c r="B399" s="116"/>
      <c r="C399" s="117"/>
      <c r="L399" s="171"/>
    </row>
    <row r="400" spans="2:12" ht="12.75" hidden="1">
      <c r="B400" s="116">
        <f>IF(B396&lt;100,0,VALUE(IF(B395&gt;2,CONCATENATE(LEFT(B396,1),"00"),0)))</f>
        <v>600</v>
      </c>
      <c r="C400" s="117">
        <f>VALUE(IF(B395&gt;0,RIGHT(B396,2),0))</f>
        <v>48</v>
      </c>
      <c r="L400" s="171"/>
    </row>
    <row r="401" spans="2:12" ht="12.75" hidden="1">
      <c r="B401" s="116" t="e">
        <f>IF(VALUE(B397)&lt;100,0,VALUE(IF(B395&gt;2,CONCATENATE(LEFT(B397,1),"00"),0)))</f>
        <v>#VALUE!</v>
      </c>
      <c r="C401" s="117" t="e">
        <f>VALUE(IF(B395&gt;0,RIGHT(B397,2),0))</f>
        <v>#VALUE!</v>
      </c>
      <c r="L401" s="171"/>
    </row>
    <row r="402" spans="2:12" ht="12.75" hidden="1">
      <c r="B402" s="116" t="e">
        <f>IF(B398&lt;100,0,VALUE(IF(B395&gt;2,CONCATENATE(LEFT(B398,1),"00"),0)))</f>
        <v>#VALUE!</v>
      </c>
      <c r="C402" s="117" t="e">
        <f>VALUE(IF(B395&gt;0,RIGHT(B398,2),0))</f>
        <v>#VALUE!</v>
      </c>
      <c r="L402" s="171"/>
    </row>
    <row r="403" spans="2:12" ht="12.75" hidden="1">
      <c r="B403" s="116"/>
      <c r="C403" s="117"/>
      <c r="L403" s="171"/>
    </row>
    <row r="404" spans="2:12" ht="12.75" hidden="1">
      <c r="B404" s="116">
        <v>0</v>
      </c>
      <c r="C404" s="117"/>
      <c r="L404" s="171"/>
    </row>
    <row r="405" spans="2:12" ht="12.75" hidden="1">
      <c r="B405" s="116">
        <v>1</v>
      </c>
      <c r="C405" s="117" t="s">
        <v>230</v>
      </c>
      <c r="L405" s="171"/>
    </row>
    <row r="406" spans="2:12" ht="12.75" hidden="1">
      <c r="B406" s="116">
        <v>2</v>
      </c>
      <c r="C406" s="117" t="s">
        <v>231</v>
      </c>
      <c r="L406" s="171"/>
    </row>
    <row r="407" spans="2:12" ht="12.75" hidden="1">
      <c r="B407" s="116">
        <v>3</v>
      </c>
      <c r="C407" s="117" t="s">
        <v>232</v>
      </c>
      <c r="L407" s="171"/>
    </row>
    <row r="408" spans="2:12" ht="12.75" hidden="1">
      <c r="B408" s="116">
        <v>4</v>
      </c>
      <c r="C408" s="117" t="s">
        <v>233</v>
      </c>
      <c r="L408" s="171"/>
    </row>
    <row r="409" spans="2:12" ht="12.75" hidden="1">
      <c r="B409" s="116">
        <v>5</v>
      </c>
      <c r="C409" s="117" t="s">
        <v>234</v>
      </c>
      <c r="L409" s="171"/>
    </row>
    <row r="410" spans="2:12" ht="12.75" hidden="1">
      <c r="B410" s="116">
        <v>6</v>
      </c>
      <c r="C410" s="117" t="s">
        <v>235</v>
      </c>
      <c r="L410" s="171"/>
    </row>
    <row r="411" spans="2:12" ht="12.75" hidden="1">
      <c r="B411" s="116">
        <v>7</v>
      </c>
      <c r="C411" s="117" t="s">
        <v>236</v>
      </c>
      <c r="L411" s="171"/>
    </row>
    <row r="412" spans="2:12" ht="12.75" hidden="1">
      <c r="B412" s="116">
        <v>8</v>
      </c>
      <c r="C412" s="117" t="s">
        <v>237</v>
      </c>
      <c r="L412" s="171"/>
    </row>
    <row r="413" spans="2:12" ht="12.75" hidden="1">
      <c r="B413" s="116">
        <v>9</v>
      </c>
      <c r="C413" s="117" t="s">
        <v>238</v>
      </c>
      <c r="L413" s="171"/>
    </row>
    <row r="414" spans="2:12" ht="12.75" hidden="1">
      <c r="B414" s="116">
        <v>10</v>
      </c>
      <c r="C414" s="117" t="s">
        <v>239</v>
      </c>
      <c r="L414" s="171"/>
    </row>
    <row r="415" spans="2:12" ht="12.75" hidden="1">
      <c r="B415" s="116">
        <v>11</v>
      </c>
      <c r="C415" s="117" t="s">
        <v>240</v>
      </c>
      <c r="L415" s="171"/>
    </row>
    <row r="416" spans="2:12" ht="12.75" hidden="1">
      <c r="B416" s="116">
        <v>12</v>
      </c>
      <c r="C416" s="117" t="s">
        <v>241</v>
      </c>
      <c r="L416" s="171"/>
    </row>
    <row r="417" spans="2:12" ht="12.75" hidden="1">
      <c r="B417" s="116">
        <v>13</v>
      </c>
      <c r="C417" s="117" t="s">
        <v>242</v>
      </c>
      <c r="L417" s="171"/>
    </row>
    <row r="418" spans="2:12" ht="12.75" hidden="1">
      <c r="B418" s="116">
        <v>14</v>
      </c>
      <c r="C418" s="117" t="s">
        <v>243</v>
      </c>
      <c r="L418" s="171"/>
    </row>
    <row r="419" spans="2:12" ht="12.75" hidden="1">
      <c r="B419" s="116">
        <v>15</v>
      </c>
      <c r="C419" s="117" t="s">
        <v>244</v>
      </c>
      <c r="L419" s="171"/>
    </row>
    <row r="420" spans="2:12" ht="12.75" hidden="1">
      <c r="B420" s="116">
        <v>16</v>
      </c>
      <c r="C420" s="117" t="s">
        <v>245</v>
      </c>
      <c r="L420" s="171"/>
    </row>
    <row r="421" spans="2:12" ht="12.75" hidden="1">
      <c r="B421" s="116">
        <v>17</v>
      </c>
      <c r="C421" s="117" t="s">
        <v>246</v>
      </c>
      <c r="L421" s="171"/>
    </row>
    <row r="422" spans="2:12" ht="12.75" hidden="1">
      <c r="B422" s="116">
        <v>18</v>
      </c>
      <c r="C422" s="117" t="s">
        <v>247</v>
      </c>
      <c r="L422" s="171"/>
    </row>
    <row r="423" spans="2:12" ht="12.75" hidden="1">
      <c r="B423" s="116">
        <v>19</v>
      </c>
      <c r="C423" s="117" t="s">
        <v>248</v>
      </c>
      <c r="L423" s="171"/>
    </row>
    <row r="424" spans="2:12" ht="12.75" hidden="1">
      <c r="B424" s="116">
        <v>20</v>
      </c>
      <c r="C424" s="117" t="s">
        <v>249</v>
      </c>
      <c r="L424" s="171"/>
    </row>
    <row r="425" spans="2:12" ht="12.75" hidden="1">
      <c r="B425" s="116">
        <v>21</v>
      </c>
      <c r="C425" s="117" t="s">
        <v>250</v>
      </c>
      <c r="L425" s="171"/>
    </row>
    <row r="426" spans="2:12" ht="12.75" hidden="1">
      <c r="B426" s="116">
        <v>22</v>
      </c>
      <c r="C426" s="117" t="s">
        <v>251</v>
      </c>
      <c r="L426" s="171"/>
    </row>
    <row r="427" spans="2:12" ht="12.75" hidden="1">
      <c r="B427" s="116">
        <v>23</v>
      </c>
      <c r="C427" s="117" t="s">
        <v>252</v>
      </c>
      <c r="L427" s="171"/>
    </row>
    <row r="428" spans="2:12" ht="12.75" hidden="1">
      <c r="B428" s="116">
        <v>24</v>
      </c>
      <c r="C428" s="117" t="s">
        <v>253</v>
      </c>
      <c r="L428" s="171"/>
    </row>
    <row r="429" spans="2:12" ht="12.75" hidden="1">
      <c r="B429" s="116">
        <v>25</v>
      </c>
      <c r="C429" s="117" t="s">
        <v>254</v>
      </c>
      <c r="L429" s="171"/>
    </row>
    <row r="430" spans="2:12" ht="12.75" hidden="1">
      <c r="B430" s="116">
        <v>26</v>
      </c>
      <c r="C430" s="117" t="s">
        <v>255</v>
      </c>
      <c r="L430" s="171"/>
    </row>
    <row r="431" spans="2:12" ht="12.75" hidden="1">
      <c r="B431" s="116">
        <v>27</v>
      </c>
      <c r="C431" s="117" t="s">
        <v>256</v>
      </c>
      <c r="L431" s="171"/>
    </row>
    <row r="432" spans="2:12" ht="12.75" hidden="1">
      <c r="B432" s="116">
        <v>28</v>
      </c>
      <c r="C432" s="117" t="s">
        <v>257</v>
      </c>
      <c r="L432" s="171"/>
    </row>
    <row r="433" spans="2:12" ht="12.75" hidden="1">
      <c r="B433" s="116">
        <v>29</v>
      </c>
      <c r="C433" s="117" t="s">
        <v>258</v>
      </c>
      <c r="L433" s="171"/>
    </row>
    <row r="434" spans="2:12" ht="12.75" hidden="1">
      <c r="B434" s="116">
        <v>30</v>
      </c>
      <c r="C434" s="117" t="s">
        <v>259</v>
      </c>
      <c r="L434" s="171"/>
    </row>
    <row r="435" spans="2:12" ht="12.75" hidden="1">
      <c r="B435" s="116">
        <v>31</v>
      </c>
      <c r="C435" s="117" t="s">
        <v>260</v>
      </c>
      <c r="L435" s="171"/>
    </row>
    <row r="436" spans="2:12" ht="12.75" hidden="1">
      <c r="B436" s="116">
        <v>32</v>
      </c>
      <c r="C436" s="117" t="s">
        <v>261</v>
      </c>
      <c r="L436" s="171"/>
    </row>
    <row r="437" spans="2:12" ht="12.75" hidden="1">
      <c r="B437" s="116">
        <v>33</v>
      </c>
      <c r="C437" s="117" t="s">
        <v>262</v>
      </c>
      <c r="L437" s="171"/>
    </row>
    <row r="438" spans="2:12" ht="12.75" hidden="1">
      <c r="B438" s="116">
        <v>34</v>
      </c>
      <c r="C438" s="117" t="s">
        <v>263</v>
      </c>
      <c r="L438" s="171"/>
    </row>
    <row r="439" spans="2:12" ht="12.75" hidden="1">
      <c r="B439" s="116">
        <v>35</v>
      </c>
      <c r="C439" s="117" t="s">
        <v>264</v>
      </c>
      <c r="L439" s="171"/>
    </row>
    <row r="440" spans="2:12" ht="12.75" hidden="1">
      <c r="B440" s="116">
        <v>36</v>
      </c>
      <c r="C440" s="117" t="s">
        <v>265</v>
      </c>
      <c r="L440" s="171"/>
    </row>
    <row r="441" spans="2:12" ht="12.75" hidden="1">
      <c r="B441" s="116">
        <v>37</v>
      </c>
      <c r="C441" s="117" t="s">
        <v>266</v>
      </c>
      <c r="L441" s="171"/>
    </row>
    <row r="442" spans="2:12" ht="12.75" hidden="1">
      <c r="B442" s="116">
        <v>38</v>
      </c>
      <c r="C442" s="117" t="s">
        <v>267</v>
      </c>
      <c r="L442" s="171"/>
    </row>
    <row r="443" spans="2:12" ht="12.75" hidden="1">
      <c r="B443" s="116">
        <v>39</v>
      </c>
      <c r="C443" s="117" t="s">
        <v>268</v>
      </c>
      <c r="L443" s="171"/>
    </row>
    <row r="444" spans="2:12" ht="12.75" hidden="1">
      <c r="B444" s="116">
        <v>40</v>
      </c>
      <c r="C444" s="117" t="s">
        <v>269</v>
      </c>
      <c r="L444" s="171"/>
    </row>
    <row r="445" spans="2:12" ht="12.75" hidden="1">
      <c r="B445" s="116">
        <v>41</v>
      </c>
      <c r="C445" s="117" t="s">
        <v>270</v>
      </c>
      <c r="L445" s="171"/>
    </row>
    <row r="446" spans="2:12" ht="12.75" hidden="1">
      <c r="B446" s="116">
        <v>42</v>
      </c>
      <c r="C446" s="117" t="s">
        <v>271</v>
      </c>
      <c r="L446" s="171"/>
    </row>
    <row r="447" spans="2:12" ht="12.75" hidden="1">
      <c r="B447" s="116">
        <v>43</v>
      </c>
      <c r="C447" s="117" t="s">
        <v>272</v>
      </c>
      <c r="L447" s="171"/>
    </row>
    <row r="448" spans="2:12" ht="12.75" hidden="1">
      <c r="B448" s="116">
        <v>44</v>
      </c>
      <c r="C448" s="117" t="s">
        <v>273</v>
      </c>
      <c r="L448" s="171"/>
    </row>
    <row r="449" spans="2:12" ht="12.75" hidden="1">
      <c r="B449" s="116">
        <v>45</v>
      </c>
      <c r="C449" s="117" t="s">
        <v>274</v>
      </c>
      <c r="L449" s="171"/>
    </row>
    <row r="450" spans="2:12" ht="12.75" hidden="1">
      <c r="B450" s="116">
        <v>46</v>
      </c>
      <c r="C450" s="117" t="s">
        <v>275</v>
      </c>
      <c r="L450" s="171"/>
    </row>
    <row r="451" spans="2:12" ht="12.75" hidden="1">
      <c r="B451" s="116">
        <v>47</v>
      </c>
      <c r="C451" s="117" t="s">
        <v>276</v>
      </c>
      <c r="L451" s="171"/>
    </row>
    <row r="452" spans="2:12" ht="12.75" hidden="1">
      <c r="B452" s="116">
        <v>48</v>
      </c>
      <c r="C452" s="117" t="s">
        <v>277</v>
      </c>
      <c r="L452" s="171"/>
    </row>
    <row r="453" spans="2:12" ht="12.75" hidden="1">
      <c r="B453" s="116">
        <v>49</v>
      </c>
      <c r="C453" s="117" t="s">
        <v>278</v>
      </c>
      <c r="L453" s="171"/>
    </row>
    <row r="454" spans="2:12" ht="12.75" hidden="1">
      <c r="B454" s="116">
        <v>50</v>
      </c>
      <c r="C454" s="117" t="s">
        <v>279</v>
      </c>
      <c r="L454" s="171"/>
    </row>
    <row r="455" spans="2:12" ht="12.75" hidden="1">
      <c r="B455" s="116">
        <v>51</v>
      </c>
      <c r="C455" s="117" t="s">
        <v>280</v>
      </c>
      <c r="L455" s="171"/>
    </row>
    <row r="456" spans="2:12" ht="12.75" hidden="1">
      <c r="B456" s="116">
        <v>52</v>
      </c>
      <c r="C456" s="117" t="s">
        <v>281</v>
      </c>
      <c r="L456" s="171"/>
    </row>
    <row r="457" spans="2:12" ht="12.75" hidden="1">
      <c r="B457" s="116">
        <v>53</v>
      </c>
      <c r="C457" s="117" t="s">
        <v>282</v>
      </c>
      <c r="L457" s="171"/>
    </row>
    <row r="458" spans="2:12" ht="12.75" hidden="1">
      <c r="B458" s="116">
        <v>54</v>
      </c>
      <c r="C458" s="117" t="s">
        <v>283</v>
      </c>
      <c r="L458" s="171"/>
    </row>
    <row r="459" spans="2:12" ht="12.75" hidden="1">
      <c r="B459" s="116">
        <v>55</v>
      </c>
      <c r="C459" s="117" t="s">
        <v>284</v>
      </c>
      <c r="L459" s="171"/>
    </row>
    <row r="460" spans="2:12" ht="12.75" hidden="1">
      <c r="B460" s="116">
        <v>56</v>
      </c>
      <c r="C460" s="117" t="s">
        <v>285</v>
      </c>
      <c r="L460" s="171"/>
    </row>
    <row r="461" spans="2:12" ht="12.75" hidden="1">
      <c r="B461" s="116">
        <v>57</v>
      </c>
      <c r="C461" s="117" t="s">
        <v>286</v>
      </c>
      <c r="L461" s="171"/>
    </row>
    <row r="462" spans="2:12" ht="12.75" hidden="1">
      <c r="B462" s="116">
        <v>58</v>
      </c>
      <c r="C462" s="117" t="s">
        <v>287</v>
      </c>
      <c r="L462" s="171"/>
    </row>
    <row r="463" spans="2:12" ht="12.75" hidden="1">
      <c r="B463" s="116">
        <v>59</v>
      </c>
      <c r="C463" s="117" t="s">
        <v>288</v>
      </c>
      <c r="L463" s="171"/>
    </row>
    <row r="464" spans="2:12" ht="12.75" hidden="1">
      <c r="B464" s="116">
        <v>60</v>
      </c>
      <c r="C464" s="117" t="s">
        <v>289</v>
      </c>
      <c r="L464" s="171"/>
    </row>
    <row r="465" spans="2:12" ht="12.75" hidden="1">
      <c r="B465" s="116">
        <v>61</v>
      </c>
      <c r="C465" s="117" t="s">
        <v>290</v>
      </c>
      <c r="L465" s="171"/>
    </row>
    <row r="466" spans="2:12" ht="12.75" hidden="1">
      <c r="B466" s="116">
        <v>62</v>
      </c>
      <c r="C466" s="117" t="s">
        <v>291</v>
      </c>
      <c r="L466" s="171"/>
    </row>
    <row r="467" spans="2:12" ht="12.75" hidden="1">
      <c r="B467" s="116">
        <v>63</v>
      </c>
      <c r="C467" s="117" t="s">
        <v>292</v>
      </c>
      <c r="L467" s="171"/>
    </row>
    <row r="468" spans="2:12" ht="12.75" hidden="1">
      <c r="B468" s="116">
        <v>64</v>
      </c>
      <c r="C468" s="117" t="s">
        <v>293</v>
      </c>
      <c r="L468" s="171"/>
    </row>
    <row r="469" spans="2:12" ht="12.75" hidden="1">
      <c r="B469" s="116">
        <v>65</v>
      </c>
      <c r="C469" s="117" t="s">
        <v>294</v>
      </c>
      <c r="L469" s="171"/>
    </row>
    <row r="470" spans="2:12" ht="12.75" hidden="1">
      <c r="B470" s="116">
        <v>66</v>
      </c>
      <c r="C470" s="117" t="s">
        <v>295</v>
      </c>
      <c r="L470" s="171"/>
    </row>
    <row r="471" spans="2:12" ht="12.75" hidden="1">
      <c r="B471" s="116">
        <v>67</v>
      </c>
      <c r="C471" s="117" t="s">
        <v>296</v>
      </c>
      <c r="L471" s="171"/>
    </row>
    <row r="472" spans="2:12" ht="12.75" hidden="1">
      <c r="B472" s="116">
        <v>68</v>
      </c>
      <c r="C472" s="117" t="s">
        <v>297</v>
      </c>
      <c r="L472" s="171"/>
    </row>
    <row r="473" spans="2:12" ht="12.75" hidden="1">
      <c r="B473" s="116">
        <v>69</v>
      </c>
      <c r="C473" s="117" t="s">
        <v>298</v>
      </c>
      <c r="L473" s="171"/>
    </row>
    <row r="474" spans="2:12" ht="12.75" hidden="1">
      <c r="B474" s="116">
        <v>70</v>
      </c>
      <c r="C474" s="117" t="s">
        <v>299</v>
      </c>
      <c r="L474" s="171"/>
    </row>
    <row r="475" spans="2:12" ht="12.75" hidden="1">
      <c r="B475" s="116">
        <v>71</v>
      </c>
      <c r="C475" s="117" t="s">
        <v>300</v>
      </c>
      <c r="L475" s="171"/>
    </row>
    <row r="476" spans="2:12" ht="12.75" hidden="1">
      <c r="B476" s="116">
        <v>72</v>
      </c>
      <c r="C476" s="117" t="s">
        <v>301</v>
      </c>
      <c r="L476" s="171"/>
    </row>
    <row r="477" spans="2:12" ht="12.75" hidden="1">
      <c r="B477" s="116">
        <v>73</v>
      </c>
      <c r="C477" s="117" t="s">
        <v>302</v>
      </c>
      <c r="L477" s="171"/>
    </row>
    <row r="478" spans="2:12" ht="12.75" hidden="1">
      <c r="B478" s="116">
        <v>74</v>
      </c>
      <c r="C478" s="117" t="s">
        <v>303</v>
      </c>
      <c r="L478" s="171"/>
    </row>
    <row r="479" spans="2:12" ht="12.75" hidden="1">
      <c r="B479" s="116">
        <v>75</v>
      </c>
      <c r="C479" s="117" t="s">
        <v>304</v>
      </c>
      <c r="L479" s="171"/>
    </row>
    <row r="480" spans="2:12" ht="12.75" hidden="1">
      <c r="B480" s="116">
        <v>76</v>
      </c>
      <c r="C480" s="117" t="s">
        <v>305</v>
      </c>
      <c r="L480" s="171"/>
    </row>
    <row r="481" spans="2:12" ht="12.75" hidden="1">
      <c r="B481" s="116">
        <v>77</v>
      </c>
      <c r="C481" s="117" t="s">
        <v>306</v>
      </c>
      <c r="L481" s="171"/>
    </row>
    <row r="482" spans="2:12" ht="12.75" hidden="1">
      <c r="B482" s="116">
        <v>78</v>
      </c>
      <c r="C482" s="117" t="s">
        <v>307</v>
      </c>
      <c r="L482" s="171"/>
    </row>
    <row r="483" spans="2:12" ht="12.75" hidden="1">
      <c r="B483" s="119">
        <v>79</v>
      </c>
      <c r="C483" s="120" t="s">
        <v>308</v>
      </c>
      <c r="L483" s="171"/>
    </row>
    <row r="484" spans="2:12" ht="12.75" hidden="1">
      <c r="B484" s="116">
        <v>80</v>
      </c>
      <c r="C484" s="117" t="s">
        <v>309</v>
      </c>
      <c r="L484" s="171"/>
    </row>
    <row r="485" spans="2:12" ht="12.75" hidden="1">
      <c r="B485" s="116">
        <v>81</v>
      </c>
      <c r="C485" s="117" t="s">
        <v>310</v>
      </c>
      <c r="L485" s="171"/>
    </row>
    <row r="486" spans="2:12" ht="12.75" hidden="1">
      <c r="B486" s="116">
        <v>82</v>
      </c>
      <c r="C486" s="117" t="s">
        <v>311</v>
      </c>
      <c r="L486" s="171"/>
    </row>
    <row r="487" spans="2:12" ht="12.75" hidden="1">
      <c r="B487" s="116">
        <v>83</v>
      </c>
      <c r="C487" s="117" t="s">
        <v>312</v>
      </c>
      <c r="L487" s="171"/>
    </row>
    <row r="488" spans="2:12" ht="12.75" hidden="1">
      <c r="B488" s="116">
        <v>84</v>
      </c>
      <c r="C488" s="117" t="s">
        <v>313</v>
      </c>
      <c r="L488" s="171"/>
    </row>
    <row r="489" spans="2:12" ht="12.75" hidden="1">
      <c r="B489" s="116">
        <v>85</v>
      </c>
      <c r="C489" s="117" t="s">
        <v>314</v>
      </c>
      <c r="L489" s="171"/>
    </row>
    <row r="490" spans="2:12" ht="12.75" hidden="1">
      <c r="B490" s="116">
        <v>86</v>
      </c>
      <c r="C490" s="117" t="s">
        <v>315</v>
      </c>
      <c r="L490" s="171"/>
    </row>
    <row r="491" spans="2:12" ht="12.75" hidden="1">
      <c r="B491" s="116">
        <v>87</v>
      </c>
      <c r="C491" s="117" t="s">
        <v>316</v>
      </c>
      <c r="L491" s="171"/>
    </row>
    <row r="492" spans="2:12" ht="12.75" hidden="1">
      <c r="B492" s="116">
        <v>88</v>
      </c>
      <c r="C492" s="117" t="s">
        <v>317</v>
      </c>
      <c r="L492" s="171"/>
    </row>
    <row r="493" spans="2:12" ht="12.75" hidden="1">
      <c r="B493" s="116">
        <v>89</v>
      </c>
      <c r="C493" s="117" t="s">
        <v>318</v>
      </c>
      <c r="L493" s="171"/>
    </row>
    <row r="494" spans="2:12" ht="12.75" hidden="1">
      <c r="B494" s="116">
        <v>90</v>
      </c>
      <c r="C494" s="117" t="s">
        <v>319</v>
      </c>
      <c r="L494" s="171"/>
    </row>
    <row r="495" spans="2:12" ht="12.75" hidden="1">
      <c r="B495" s="116">
        <v>91</v>
      </c>
      <c r="C495" s="117" t="s">
        <v>320</v>
      </c>
      <c r="L495" s="171"/>
    </row>
    <row r="496" spans="2:12" ht="12.75" hidden="1">
      <c r="B496" s="116">
        <v>92</v>
      </c>
      <c r="C496" s="117" t="s">
        <v>321</v>
      </c>
      <c r="L496" s="171"/>
    </row>
    <row r="497" spans="2:12" ht="12.75" hidden="1">
      <c r="B497" s="116">
        <v>93</v>
      </c>
      <c r="C497" s="117" t="s">
        <v>322</v>
      </c>
      <c r="L497" s="171"/>
    </row>
    <row r="498" spans="2:12" ht="12.75" hidden="1">
      <c r="B498" s="116">
        <v>94</v>
      </c>
      <c r="C498" s="117" t="s">
        <v>323</v>
      </c>
      <c r="L498" s="171"/>
    </row>
    <row r="499" spans="2:12" ht="12.75" hidden="1">
      <c r="B499" s="116">
        <v>95</v>
      </c>
      <c r="C499" s="117" t="s">
        <v>324</v>
      </c>
      <c r="L499" s="171"/>
    </row>
    <row r="500" spans="2:12" ht="12.75" hidden="1">
      <c r="B500" s="116">
        <v>96</v>
      </c>
      <c r="C500" s="117" t="s">
        <v>325</v>
      </c>
      <c r="L500" s="171"/>
    </row>
    <row r="501" spans="2:12" ht="12.75" hidden="1">
      <c r="B501" s="116">
        <v>97</v>
      </c>
      <c r="C501" s="117" t="s">
        <v>326</v>
      </c>
      <c r="L501" s="171"/>
    </row>
    <row r="502" spans="2:12" ht="12.75" hidden="1">
      <c r="B502" s="116">
        <v>98</v>
      </c>
      <c r="C502" s="117" t="s">
        <v>327</v>
      </c>
      <c r="L502" s="171"/>
    </row>
    <row r="503" spans="2:12" ht="12.75" hidden="1">
      <c r="B503" s="116">
        <v>99</v>
      </c>
      <c r="C503" s="117" t="s">
        <v>328</v>
      </c>
      <c r="L503" s="171"/>
    </row>
    <row r="504" spans="2:12" ht="12.75" hidden="1">
      <c r="B504" s="116">
        <v>100</v>
      </c>
      <c r="C504" s="117" t="s">
        <v>329</v>
      </c>
      <c r="L504" s="171"/>
    </row>
    <row r="505" spans="2:12" ht="12.75" hidden="1">
      <c r="B505" s="116">
        <v>200</v>
      </c>
      <c r="C505" s="117" t="s">
        <v>330</v>
      </c>
      <c r="L505" s="171"/>
    </row>
    <row r="506" spans="2:12" ht="12.75" hidden="1">
      <c r="B506" s="116">
        <v>300</v>
      </c>
      <c r="C506" s="117" t="s">
        <v>331</v>
      </c>
      <c r="L506" s="171"/>
    </row>
    <row r="507" spans="2:12" ht="12.75" hidden="1">
      <c r="B507" s="116">
        <v>400</v>
      </c>
      <c r="C507" s="117" t="s">
        <v>332</v>
      </c>
      <c r="L507" s="171"/>
    </row>
    <row r="508" spans="2:12" ht="12.75" hidden="1">
      <c r="B508" s="116">
        <v>500</v>
      </c>
      <c r="C508" s="117" t="s">
        <v>333</v>
      </c>
      <c r="L508" s="171"/>
    </row>
    <row r="509" spans="2:12" ht="12.75" hidden="1">
      <c r="B509" s="116">
        <v>600</v>
      </c>
      <c r="C509" s="117" t="s">
        <v>334</v>
      </c>
      <c r="L509" s="171"/>
    </row>
    <row r="510" spans="2:12" ht="12.75" hidden="1">
      <c r="B510" s="116">
        <v>700</v>
      </c>
      <c r="C510" s="117" t="s">
        <v>335</v>
      </c>
      <c r="L510" s="171"/>
    </row>
    <row r="511" spans="2:12" ht="12.75" hidden="1">
      <c r="B511" s="116">
        <v>800</v>
      </c>
      <c r="C511" s="117" t="s">
        <v>336</v>
      </c>
      <c r="L511" s="171"/>
    </row>
    <row r="512" spans="2:12" ht="12.75" hidden="1">
      <c r="B512" s="116">
        <v>900</v>
      </c>
      <c r="C512" s="117" t="s">
        <v>337</v>
      </c>
      <c r="L512" s="171"/>
    </row>
    <row r="513" spans="2:12" ht="12.75" hidden="1">
      <c r="B513" s="116"/>
      <c r="C513" s="117"/>
      <c r="L513" s="171"/>
    </row>
    <row r="514" spans="2:12" ht="12.75" hidden="1">
      <c r="B514" s="116"/>
      <c r="C514" s="117"/>
      <c r="L514" s="171"/>
    </row>
    <row r="515" spans="2:12" ht="12.75" hidden="1">
      <c r="B515" s="116"/>
      <c r="C515" s="117"/>
      <c r="L515" s="171"/>
    </row>
    <row r="516" spans="2:12" ht="12.75" hidden="1">
      <c r="B516" s="116"/>
      <c r="C516" s="117"/>
      <c r="L516" s="171"/>
    </row>
    <row r="517" spans="2:12" ht="12.75" hidden="1">
      <c r="B517" s="116"/>
      <c r="C517" s="117"/>
      <c r="L517" s="171"/>
    </row>
    <row r="518" spans="2:12" ht="12.75" hidden="1">
      <c r="B518" s="116"/>
      <c r="C518" s="117"/>
      <c r="L518" s="171"/>
    </row>
    <row r="519" spans="2:12" ht="12.75" hidden="1">
      <c r="B519" s="116"/>
      <c r="C519" s="117"/>
      <c r="L519" s="171"/>
    </row>
    <row r="520" spans="2:12" ht="12.75" hidden="1">
      <c r="B520" s="116"/>
      <c r="C520" s="117"/>
      <c r="L520" s="171"/>
    </row>
    <row r="521" spans="2:12" ht="12.75" hidden="1">
      <c r="B521" s="116"/>
      <c r="C521" s="117"/>
      <c r="L521" s="171"/>
    </row>
    <row r="522" spans="2:12" ht="12.75" hidden="1">
      <c r="B522" s="116"/>
      <c r="C522" s="117"/>
      <c r="L522" s="171"/>
    </row>
    <row r="523" spans="2:12" ht="12.75" hidden="1">
      <c r="B523" s="116"/>
      <c r="C523" s="117"/>
      <c r="L523" s="171"/>
    </row>
    <row r="524" spans="2:12" ht="12.75" hidden="1">
      <c r="B524" s="116"/>
      <c r="C524" s="117"/>
      <c r="L524" s="171"/>
    </row>
    <row r="525" spans="2:12" ht="12.75" hidden="1">
      <c r="B525" s="116"/>
      <c r="C525" s="117"/>
      <c r="L525" s="171"/>
    </row>
    <row r="526" spans="2:12" ht="12.75" hidden="1">
      <c r="B526" s="116"/>
      <c r="C526" s="117"/>
      <c r="L526" s="171"/>
    </row>
    <row r="527" spans="2:12" ht="12.75" hidden="1">
      <c r="B527" s="116"/>
      <c r="C527" s="117"/>
      <c r="L527" s="171"/>
    </row>
    <row r="528" spans="2:12" ht="12.75" hidden="1">
      <c r="B528" s="116"/>
      <c r="C528" s="117"/>
      <c r="L528" s="171"/>
    </row>
    <row r="529" spans="2:12" ht="13.5" hidden="1" thickBot="1">
      <c r="B529" s="121"/>
      <c r="C529" s="122"/>
      <c r="L529" s="171"/>
    </row>
    <row r="530" ht="12.75" hidden="1">
      <c r="L530" s="171"/>
    </row>
    <row r="531" ht="12.75" hidden="1">
      <c r="L531" s="171"/>
    </row>
    <row r="532" ht="12.75" hidden="1">
      <c r="L532" s="171"/>
    </row>
    <row r="533" ht="12.75" hidden="1">
      <c r="L533" s="171"/>
    </row>
    <row r="534" ht="12.75" hidden="1">
      <c r="L534" s="171"/>
    </row>
    <row r="535" ht="12.75"/>
    <row r="536" ht="12.75"/>
    <row r="537" ht="12.75"/>
    <row r="538" ht="12.75"/>
    <row r="539" ht="12.75"/>
    <row r="540" ht="12.75"/>
    <row r="541" ht="12.75"/>
    <row r="542" ht="12.75"/>
    <row r="543" ht="12.75"/>
    <row r="544" ht="12.75"/>
    <row r="545" ht="12.75"/>
    <row r="546" ht="12.75"/>
    <row r="547" ht="12.75"/>
    <row r="548" ht="12.75"/>
    <row r="549" ht="12.75"/>
    <row r="550" ht="12.75"/>
    <row r="551" ht="12.75"/>
    <row r="552" ht="12.75"/>
    <row r="553" ht="12.75"/>
    <row r="554" ht="12.75"/>
    <row r="555" ht="12.75"/>
    <row r="556" ht="12.75"/>
    <row r="557" ht="12.75"/>
    <row r="558" ht="12.75"/>
    <row r="559" ht="12.75"/>
    <row r="560" ht="12.75"/>
    <row r="561" ht="12.75"/>
    <row r="562" ht="12.75"/>
    <row r="563" ht="12.75"/>
    <row r="564" ht="12.75"/>
    <row r="565" ht="12.75"/>
    <row r="566" ht="12.75"/>
    <row r="567" ht="12.75"/>
    <row r="568" ht="12.75"/>
    <row r="569" ht="12.75"/>
    <row r="570" ht="12.75"/>
    <row r="571" ht="12.75"/>
    <row r="572" ht="12.75"/>
    <row r="573" ht="12.75"/>
  </sheetData>
  <sheetProtection autoFilter="0"/>
  <autoFilter ref="P1:P323"/>
  <mergeCells count="19">
    <mergeCell ref="L114:M114"/>
    <mergeCell ref="B389:C389"/>
    <mergeCell ref="E312:F312"/>
    <mergeCell ref="I312:J312"/>
    <mergeCell ref="L312:M312"/>
    <mergeCell ref="E314:F314"/>
    <mergeCell ref="I314:J314"/>
    <mergeCell ref="L314:M314"/>
    <mergeCell ref="B316:N316"/>
    <mergeCell ref="B2:N3"/>
    <mergeCell ref="B4:N5"/>
    <mergeCell ref="B317:N317"/>
    <mergeCell ref="B319:N319"/>
    <mergeCell ref="B318:N318"/>
    <mergeCell ref="B323:F323"/>
    <mergeCell ref="B322:F322"/>
    <mergeCell ref="B6:N6"/>
    <mergeCell ref="E114:F114"/>
    <mergeCell ref="I114:J114"/>
  </mergeCells>
  <printOptions horizontalCentered="1"/>
  <pageMargins left="0.1968503937007874" right="0" top="0.3937007874015748" bottom="0.7874015748031497" header="0.5118110236220472" footer="0.5905511811023623"/>
  <pageSetup blackAndWhite="1" horizontalDpi="240" verticalDpi="240" orientation="portrait" scale="65" r:id="rId1"/>
  <headerFooter alignWithMargins="0">
    <oddFooter>&amp;C&amp;A&amp;RPágina &amp;P</oddFooter>
  </headerFooter>
</worksheet>
</file>

<file path=xl/worksheets/sheet6.xml><?xml version="1.0" encoding="utf-8"?>
<worksheet xmlns="http://schemas.openxmlformats.org/spreadsheetml/2006/main" xmlns:r="http://schemas.openxmlformats.org/officeDocument/2006/relationships">
  <sheetPr codeName="Hoja5"/>
  <dimension ref="B2:K223"/>
  <sheetViews>
    <sheetView showGridLines="0" zoomScale="70" zoomScaleNormal="70" zoomScalePageLayoutView="0" workbookViewId="0" topLeftCell="A7">
      <selection activeCell="F13" sqref="F13"/>
    </sheetView>
  </sheetViews>
  <sheetFormatPr defaultColWidth="0" defaultRowHeight="12.75" zeroHeight="1"/>
  <cols>
    <col min="1" max="1" width="3.7109375" style="54" customWidth="1"/>
    <col min="2" max="2" width="39.140625" style="190" customWidth="1"/>
    <col min="3" max="3" width="10.57421875" style="190" customWidth="1"/>
    <col min="4" max="4" width="12.8515625" style="24" customWidth="1"/>
    <col min="5" max="5" width="13.57421875" style="24" customWidth="1"/>
    <col min="6" max="6" width="14.57421875" style="24" customWidth="1"/>
    <col min="7" max="7" width="14.421875" style="24" customWidth="1"/>
    <col min="8" max="9" width="16.57421875" style="24" customWidth="1"/>
    <col min="10" max="10" width="2.140625" style="190" customWidth="1"/>
    <col min="11" max="11" width="0" style="190" hidden="1" customWidth="1"/>
    <col min="12" max="16384" width="27.140625" style="190" hidden="1" customWidth="1"/>
  </cols>
  <sheetData>
    <row r="1" ht="12.75"/>
    <row r="2" spans="2:3" ht="18">
      <c r="B2" s="123" t="s">
        <v>12</v>
      </c>
      <c r="C2" s="123"/>
    </row>
    <row r="3" ht="12.75"/>
    <row r="4" ht="13.5" thickBot="1"/>
    <row r="5" spans="2:9" ht="26.25">
      <c r="B5" s="191" t="s">
        <v>13</v>
      </c>
      <c r="C5" s="192"/>
      <c r="D5" s="193"/>
      <c r="E5" s="193"/>
      <c r="F5" s="193"/>
      <c r="G5" s="193"/>
      <c r="H5" s="193"/>
      <c r="I5" s="194"/>
    </row>
    <row r="6" spans="2:9" ht="18.75">
      <c r="B6" s="376" t="str">
        <f>IF('Información general'!B3=0,"",+'Información general'!B3)</f>
        <v>ITAGUI</v>
      </c>
      <c r="C6" s="180"/>
      <c r="D6" s="195"/>
      <c r="E6" s="195"/>
      <c r="F6" s="195"/>
      <c r="G6" s="195"/>
      <c r="H6" s="195"/>
      <c r="I6" s="196"/>
    </row>
    <row r="7" spans="2:9" ht="18.75">
      <c r="B7" s="377" t="str">
        <f>IF('Información general'!B4=0,"",+'Información general'!B4)</f>
        <v>ESE HOSPITAL SAN RAFAEL DE ITAGUI</v>
      </c>
      <c r="C7" s="179"/>
      <c r="D7" s="195"/>
      <c r="E7" s="195"/>
      <c r="F7" s="195"/>
      <c r="G7" s="195"/>
      <c r="H7" s="195"/>
      <c r="I7" s="196"/>
    </row>
    <row r="8" spans="2:9" ht="18.75">
      <c r="B8" s="376" t="str">
        <f>+CONCATENATE("VIGENCIA ",'Información general'!C5)</f>
        <v>VIGENCIA 2021</v>
      </c>
      <c r="C8" s="180"/>
      <c r="D8" s="195"/>
      <c r="E8" s="195"/>
      <c r="F8" s="195"/>
      <c r="G8" s="195"/>
      <c r="H8" s="195"/>
      <c r="I8" s="196"/>
    </row>
    <row r="9" spans="2:9" ht="13.5" thickBot="1">
      <c r="B9" s="197"/>
      <c r="C9" s="198"/>
      <c r="D9" s="199"/>
      <c r="E9" s="199"/>
      <c r="F9" s="199"/>
      <c r="G9" s="199"/>
      <c r="H9" s="199"/>
      <c r="I9" s="200"/>
    </row>
    <row r="10" spans="2:9" ht="86.25" customHeight="1" thickBot="1">
      <c r="B10" s="201" t="s">
        <v>354</v>
      </c>
      <c r="C10" s="202" t="s">
        <v>353</v>
      </c>
      <c r="D10" s="203" t="str">
        <f>+CONCATENATE("VALOR DE LA MESADA EN EL ",'Información general'!C5-1)</f>
        <v>VALOR DE LA MESADA EN EL 2020</v>
      </c>
      <c r="E10" s="203" t="str">
        <f>+CONCATENATE("VALOR DE LA MESADA CALCULADA PARA EL AÑO ",'Información general'!C5)</f>
        <v>VALOR DE LA MESADA CALCULADA PARA EL AÑO 2021</v>
      </c>
      <c r="F10" s="203" t="str">
        <f>+CONCATENATE("VALOR DE LA PRIMA DE NAVIDAD CALCULADA PARA EL AÑO ",'Información general'!C5)</f>
        <v>VALOR DE LA PRIMA DE NAVIDAD CALCULADA PARA EL AÑO 2021</v>
      </c>
      <c r="G10" s="203" t="str">
        <f>+CONCATENATE("PRIMA LEY 100 (Art. 142) CALCULADA PARA EL ",'Información general'!C5)</f>
        <v>PRIMA LEY 100 (Art. 142) CALCULADA PARA EL 2021</v>
      </c>
      <c r="H10" s="203" t="str">
        <f>+CONCATENATE("MESADAS A PAGAR EN LA VIGENCIA ",'Información general'!C5," (Sin primas) ")</f>
        <v>MESADAS A PAGAR EN LA VIGENCIA 2021 (Sin primas) </v>
      </c>
      <c r="I10" s="204" t="str">
        <f>+CONCATENATE("TOTAL A PAGAR EN EL AÑO",'Información general'!C5)</f>
        <v>TOTAL A PAGAR EN EL AÑO2021</v>
      </c>
    </row>
    <row r="11" spans="2:9" ht="15">
      <c r="B11" s="185" t="s">
        <v>728</v>
      </c>
      <c r="C11" s="206">
        <v>1995</v>
      </c>
      <c r="D11" s="186">
        <v>550022</v>
      </c>
      <c r="E11" s="7">
        <f>ROUND((IF(C11&lt;1994,((D11+D11*'Información general'!$F$11)+((D11+D11*'Información general'!$F$11)*'Información general'!$E$52)),(D11+D11*'Información general'!$F$11))),0)</f>
        <v>577523</v>
      </c>
      <c r="F11" s="7">
        <f>ROUND((D11+D11*'Información general'!$F$11),0)</f>
        <v>577523</v>
      </c>
      <c r="G11" s="7">
        <f>ROUND((D11+D11*'Información general'!$F$11),0)</f>
        <v>577523</v>
      </c>
      <c r="H11" s="8">
        <f>+IF(B11&lt;&gt;0,12,0)</f>
        <v>12</v>
      </c>
      <c r="I11" s="9">
        <f>+E11*H11+F11+G11</f>
        <v>8085322</v>
      </c>
    </row>
    <row r="12" spans="2:9" ht="15">
      <c r="B12" s="187"/>
      <c r="C12" s="206"/>
      <c r="D12" s="186"/>
      <c r="E12" s="7">
        <f>ROUND((IF(C12&lt;1994,((D12+D12*'Información general'!$F$11)+((D12+D12*'Información general'!$F$11)*'Información general'!$E$52)),(D12+D12*'Información general'!$F$11))),0)</f>
        <v>0</v>
      </c>
      <c r="F12" s="7">
        <f>ROUND((D12+D12*'Información general'!$F$11),0)</f>
        <v>0</v>
      </c>
      <c r="G12" s="7">
        <f>ROUND((D12+D12*'Información general'!$F$11),0)</f>
        <v>0</v>
      </c>
      <c r="H12" s="8">
        <f aca="true" t="shared" si="0" ref="H12:H64">+IF(B12&lt;&gt;0,12,0)</f>
        <v>0</v>
      </c>
      <c r="I12" s="9">
        <f aca="true" t="shared" si="1" ref="I12:I64">+E12*H12+F12+G12</f>
        <v>0</v>
      </c>
    </row>
    <row r="13" spans="2:11" ht="15">
      <c r="B13" s="187"/>
      <c r="C13" s="207"/>
      <c r="D13" s="186"/>
      <c r="E13" s="7">
        <f>ROUND((IF(C13&lt;1994,((D13+D13*'Información general'!$F$11)+((D13+D13*'Información general'!$F$11)*'Información general'!$E$52)),(D13+D13*'Información general'!$F$11))),0)</f>
        <v>0</v>
      </c>
      <c r="F13" s="10">
        <f>ROUND((D13+D13*'Información general'!$F$11),0)</f>
        <v>0</v>
      </c>
      <c r="G13" s="10">
        <f>ROUND((D13+D13*'Información general'!$F$11),0)</f>
        <v>0</v>
      </c>
      <c r="H13" s="11">
        <f t="shared" si="0"/>
        <v>0</v>
      </c>
      <c r="I13" s="12">
        <f t="shared" si="1"/>
        <v>0</v>
      </c>
      <c r="K13" s="24"/>
    </row>
    <row r="14" spans="2:11" ht="15">
      <c r="B14" s="187"/>
      <c r="C14" s="207"/>
      <c r="D14" s="186"/>
      <c r="E14" s="7">
        <f>ROUND((IF(C14&lt;1994,((D14+D14*'Información general'!$F$11)+((D14+D14*'Información general'!$F$11)*'Información general'!$E$52)),(D14+D14*'Información general'!$F$11))),0)</f>
        <v>0</v>
      </c>
      <c r="F14" s="10">
        <f>ROUND((D14+D14*'Información general'!$F$11),0)</f>
        <v>0</v>
      </c>
      <c r="G14" s="10">
        <f>ROUND((D14+D14*'Información general'!$F$11),0)</f>
        <v>0</v>
      </c>
      <c r="H14" s="11">
        <f t="shared" si="0"/>
        <v>0</v>
      </c>
      <c r="I14" s="12">
        <f t="shared" si="1"/>
        <v>0</v>
      </c>
      <c r="K14" s="24"/>
    </row>
    <row r="15" spans="2:11" ht="15">
      <c r="B15" s="187"/>
      <c r="C15" s="207"/>
      <c r="D15" s="186"/>
      <c r="E15" s="7">
        <f>ROUND((IF(C15&lt;1994,((D15+D15*'Información general'!$F$11)+((D15+D15*'Información general'!$F$11)*'Información general'!$E$52)),(D15+D15*'Información general'!$F$11))),0)</f>
        <v>0</v>
      </c>
      <c r="F15" s="10">
        <f>ROUND((D15+D15*'Información general'!$F$11),0)</f>
        <v>0</v>
      </c>
      <c r="G15" s="10">
        <f>ROUND((D15+D15*'Información general'!$F$11),0)</f>
        <v>0</v>
      </c>
      <c r="H15" s="11">
        <f t="shared" si="0"/>
        <v>0</v>
      </c>
      <c r="I15" s="12">
        <f t="shared" si="1"/>
        <v>0</v>
      </c>
      <c r="K15" s="24"/>
    </row>
    <row r="16" spans="2:11" ht="15">
      <c r="B16" s="187"/>
      <c r="C16" s="207"/>
      <c r="D16" s="186"/>
      <c r="E16" s="7">
        <f>ROUND((IF(C16&lt;1994,((D16+D16*'Información general'!$F$11)+((D16+D16*'Información general'!$F$11)*'Información general'!$E$52)),(D16+D16*'Información general'!$F$11))),0)</f>
        <v>0</v>
      </c>
      <c r="F16" s="10">
        <f>ROUND((D16+D16*'Información general'!$F$11),0)</f>
        <v>0</v>
      </c>
      <c r="G16" s="10">
        <f>ROUND((D16+D16*'Información general'!$F$11),0)</f>
        <v>0</v>
      </c>
      <c r="H16" s="11">
        <f t="shared" si="0"/>
        <v>0</v>
      </c>
      <c r="I16" s="12">
        <f t="shared" si="1"/>
        <v>0</v>
      </c>
      <c r="K16" s="24"/>
    </row>
    <row r="17" spans="2:11" ht="15">
      <c r="B17" s="187"/>
      <c r="C17" s="207"/>
      <c r="D17" s="186"/>
      <c r="E17" s="7">
        <f>ROUND((IF(C17&lt;1994,((D17+D17*'Información general'!$F$11)+((D17+D17*'Información general'!$F$11)*'Información general'!$E$52)),(D17+D17*'Información general'!$F$11))),0)</f>
        <v>0</v>
      </c>
      <c r="F17" s="10">
        <f>ROUND((D17+D17*'Información general'!$F$11),0)</f>
        <v>0</v>
      </c>
      <c r="G17" s="10">
        <f>ROUND((D17+D17*'Información general'!$F$11),0)</f>
        <v>0</v>
      </c>
      <c r="H17" s="11">
        <f t="shared" si="0"/>
        <v>0</v>
      </c>
      <c r="I17" s="12">
        <f t="shared" si="1"/>
        <v>0</v>
      </c>
      <c r="K17" s="24"/>
    </row>
    <row r="18" spans="2:11" ht="15">
      <c r="B18" s="187"/>
      <c r="C18" s="207"/>
      <c r="D18" s="186"/>
      <c r="E18" s="7">
        <f>ROUND((IF(C18&lt;1994,((D18+D18*'Información general'!$F$11)+((D18+D18*'Información general'!$F$11)*'Información general'!$E$52)),(D18+D18*'Información general'!$F$11))),0)</f>
        <v>0</v>
      </c>
      <c r="F18" s="10">
        <f>ROUND((D18+D18*'Información general'!$F$11),0)</f>
        <v>0</v>
      </c>
      <c r="G18" s="10">
        <f>ROUND((D18+D18*'Información general'!$F$11),0)</f>
        <v>0</v>
      </c>
      <c r="H18" s="11">
        <f t="shared" si="0"/>
        <v>0</v>
      </c>
      <c r="I18" s="12">
        <f t="shared" si="1"/>
        <v>0</v>
      </c>
      <c r="K18" s="24"/>
    </row>
    <row r="19" spans="2:11" ht="15">
      <c r="B19" s="187"/>
      <c r="C19" s="207"/>
      <c r="D19" s="186"/>
      <c r="E19" s="7">
        <f>ROUND((IF(C19&lt;1994,((D19+D19*'Información general'!$F$11)+((D19+D19*'Información general'!$F$11)*'Información general'!$E$52)),(D19+D19*'Información general'!$F$11))),0)</f>
        <v>0</v>
      </c>
      <c r="F19" s="10">
        <f>ROUND((D19+D19*'Información general'!$F$11),0)</f>
        <v>0</v>
      </c>
      <c r="G19" s="10">
        <f>ROUND((D19+D19*'Información general'!$F$11),0)</f>
        <v>0</v>
      </c>
      <c r="H19" s="11">
        <f t="shared" si="0"/>
        <v>0</v>
      </c>
      <c r="I19" s="12">
        <f t="shared" si="1"/>
        <v>0</v>
      </c>
      <c r="K19" s="24"/>
    </row>
    <row r="20" spans="2:11" ht="15">
      <c r="B20" s="187"/>
      <c r="C20" s="207"/>
      <c r="D20" s="186"/>
      <c r="E20" s="7">
        <f>ROUND((IF(C20&lt;1994,((D20+D20*'Información general'!$F$11)+((D20+D20*'Información general'!$F$11)*'Información general'!$E$52)),(D20+D20*'Información general'!$F$11))),0)</f>
        <v>0</v>
      </c>
      <c r="F20" s="10">
        <f>ROUND((D20+D20*'Información general'!$F$11),0)</f>
        <v>0</v>
      </c>
      <c r="G20" s="10">
        <f>ROUND((D20+D20*'Información general'!$F$11),0)</f>
        <v>0</v>
      </c>
      <c r="H20" s="11">
        <f t="shared" si="0"/>
        <v>0</v>
      </c>
      <c r="I20" s="12">
        <f t="shared" si="1"/>
        <v>0</v>
      </c>
      <c r="K20" s="24"/>
    </row>
    <row r="21" spans="2:11" ht="15">
      <c r="B21" s="187"/>
      <c r="C21" s="207"/>
      <c r="D21" s="186"/>
      <c r="E21" s="7">
        <f>ROUND((IF(C21&lt;1994,((D21+D21*'Información general'!$F$11)+((D21+D21*'Información general'!$F$11)*'Información general'!$E$52)),(D21+D21*'Información general'!$F$11))),0)</f>
        <v>0</v>
      </c>
      <c r="F21" s="10">
        <f>ROUND((D21+D21*'Información general'!$F$11),0)</f>
        <v>0</v>
      </c>
      <c r="G21" s="10">
        <f>ROUND((D21+D21*'Información general'!$F$11),0)</f>
        <v>0</v>
      </c>
      <c r="H21" s="11">
        <f t="shared" si="0"/>
        <v>0</v>
      </c>
      <c r="I21" s="12">
        <f t="shared" si="1"/>
        <v>0</v>
      </c>
      <c r="K21" s="24"/>
    </row>
    <row r="22" spans="2:11" ht="15">
      <c r="B22" s="187"/>
      <c r="C22" s="207"/>
      <c r="D22" s="186"/>
      <c r="E22" s="7">
        <f>ROUND((IF(C22&lt;1994,((D22+D22*'Información general'!$F$11)+((D22+D22*'Información general'!$F$11)*'Información general'!$E$52)),(D22+D22*'Información general'!$F$11))),0)</f>
        <v>0</v>
      </c>
      <c r="F22" s="10">
        <f>ROUND((D22+D22*'Información general'!$F$11),0)</f>
        <v>0</v>
      </c>
      <c r="G22" s="10">
        <f>ROUND((D22+D22*'Información general'!$F$11),0)</f>
        <v>0</v>
      </c>
      <c r="H22" s="11">
        <f t="shared" si="0"/>
        <v>0</v>
      </c>
      <c r="I22" s="12">
        <f t="shared" si="1"/>
        <v>0</v>
      </c>
      <c r="K22" s="24"/>
    </row>
    <row r="23" spans="2:11" ht="15">
      <c r="B23" s="187"/>
      <c r="C23" s="207"/>
      <c r="D23" s="186"/>
      <c r="E23" s="7">
        <f>ROUND((IF(C23&lt;1994,((D23+D23*'Información general'!$F$11)+((D23+D23*'Información general'!$F$11)*'Información general'!$E$52)),(D23+D23*'Información general'!$F$11))),0)</f>
        <v>0</v>
      </c>
      <c r="F23" s="10">
        <f>ROUND((D23+D23*'Información general'!$F$11),0)</f>
        <v>0</v>
      </c>
      <c r="G23" s="10">
        <f>ROUND((D23+D23*'Información general'!$F$11),0)</f>
        <v>0</v>
      </c>
      <c r="H23" s="11">
        <f t="shared" si="0"/>
        <v>0</v>
      </c>
      <c r="I23" s="12">
        <f t="shared" si="1"/>
        <v>0</v>
      </c>
      <c r="K23" s="24"/>
    </row>
    <row r="24" spans="2:11" ht="15">
      <c r="B24" s="187"/>
      <c r="C24" s="207"/>
      <c r="D24" s="186"/>
      <c r="E24" s="7">
        <f>ROUND((IF(C24&lt;1994,((D24+D24*'Información general'!$F$11)+((D24+D24*'Información general'!$F$11)*'Información general'!$E$52)),(D24+D24*'Información general'!$F$11))),0)</f>
        <v>0</v>
      </c>
      <c r="F24" s="10">
        <f>ROUND((D24+D24*'Información general'!$F$11),0)</f>
        <v>0</v>
      </c>
      <c r="G24" s="10">
        <f>ROUND((D24+D24*'Información general'!$F$11),0)</f>
        <v>0</v>
      </c>
      <c r="H24" s="11">
        <f t="shared" si="0"/>
        <v>0</v>
      </c>
      <c r="I24" s="12">
        <f t="shared" si="1"/>
        <v>0</v>
      </c>
      <c r="K24" s="24"/>
    </row>
    <row r="25" spans="2:11" ht="15">
      <c r="B25" s="187"/>
      <c r="C25" s="207"/>
      <c r="D25" s="186"/>
      <c r="E25" s="7">
        <f>ROUND((IF(C25&lt;1994,((D25+D25*'Información general'!$F$11)+((D25+D25*'Información general'!$F$11)*'Información general'!$E$52)),(D25+D25*'Información general'!$F$11))),0)</f>
        <v>0</v>
      </c>
      <c r="F25" s="10">
        <f>ROUND((D25+D25*'Información general'!$F$11),0)</f>
        <v>0</v>
      </c>
      <c r="G25" s="10">
        <f>ROUND((D25+D25*'Información general'!$F$11),0)</f>
        <v>0</v>
      </c>
      <c r="H25" s="11">
        <f t="shared" si="0"/>
        <v>0</v>
      </c>
      <c r="I25" s="12">
        <f t="shared" si="1"/>
        <v>0</v>
      </c>
      <c r="K25" s="24"/>
    </row>
    <row r="26" spans="2:11" ht="15">
      <c r="B26" s="187"/>
      <c r="C26" s="207"/>
      <c r="D26" s="186"/>
      <c r="E26" s="7">
        <f>ROUND((IF(C26&lt;1994,((D26+D26*'Información general'!$F$11)+((D26+D26*'Información general'!$F$11)*'Información general'!$E$52)),(D26+D26*'Información general'!$F$11))),0)</f>
        <v>0</v>
      </c>
      <c r="F26" s="10">
        <f>ROUND((D26+D26*'Información general'!$F$11),0)</f>
        <v>0</v>
      </c>
      <c r="G26" s="10">
        <f>ROUND((D26+D26*'Información general'!$F$11),0)</f>
        <v>0</v>
      </c>
      <c r="H26" s="11">
        <f t="shared" si="0"/>
        <v>0</v>
      </c>
      <c r="I26" s="12">
        <f t="shared" si="1"/>
        <v>0</v>
      </c>
      <c r="K26" s="24"/>
    </row>
    <row r="27" spans="2:11" ht="15">
      <c r="B27" s="187"/>
      <c r="C27" s="207"/>
      <c r="D27" s="186"/>
      <c r="E27" s="7">
        <f>ROUND((IF(C27&lt;1994,((D27+D27*'Información general'!$F$11)+((D27+D27*'Información general'!$F$11)*'Información general'!$E$52)),(D27+D27*'Información general'!$F$11))),0)</f>
        <v>0</v>
      </c>
      <c r="F27" s="10">
        <f>ROUND((D27+D27*'Información general'!$F$11),0)</f>
        <v>0</v>
      </c>
      <c r="G27" s="10">
        <f>ROUND((D27+D27*'Información general'!$F$11),0)</f>
        <v>0</v>
      </c>
      <c r="H27" s="11">
        <f t="shared" si="0"/>
        <v>0</v>
      </c>
      <c r="I27" s="12">
        <f t="shared" si="1"/>
        <v>0</v>
      </c>
      <c r="K27" s="24"/>
    </row>
    <row r="28" spans="2:11" ht="15">
      <c r="B28" s="187"/>
      <c r="C28" s="207"/>
      <c r="D28" s="186"/>
      <c r="E28" s="7">
        <f>ROUND((IF(C28&lt;1994,((D28+D28*'Información general'!$F$11)+((D28+D28*'Información general'!$F$11)*'Información general'!$E$52)),(D28+D28*'Información general'!$F$11))),0)</f>
        <v>0</v>
      </c>
      <c r="F28" s="10">
        <f>ROUND((D28+D28*'Información general'!$F$11),0)</f>
        <v>0</v>
      </c>
      <c r="G28" s="10">
        <f>ROUND((D28+D28*'Información general'!$F$11),0)</f>
        <v>0</v>
      </c>
      <c r="H28" s="11">
        <f t="shared" si="0"/>
        <v>0</v>
      </c>
      <c r="I28" s="12">
        <f t="shared" si="1"/>
        <v>0</v>
      </c>
      <c r="K28" s="24"/>
    </row>
    <row r="29" spans="2:11" ht="15">
      <c r="B29" s="187"/>
      <c r="C29" s="207"/>
      <c r="D29" s="186"/>
      <c r="E29" s="7">
        <f>ROUND((IF(C29&lt;1994,((D29+D29*'Información general'!$F$11)+((D29+D29*'Información general'!$F$11)*'Información general'!$E$52)),(D29+D29*'Información general'!$F$11))),0)</f>
        <v>0</v>
      </c>
      <c r="F29" s="10">
        <f>ROUND((D29+D29*'Información general'!$F$11),0)</f>
        <v>0</v>
      </c>
      <c r="G29" s="10">
        <f>ROUND((D29+D29*'Información general'!$F$11),0)</f>
        <v>0</v>
      </c>
      <c r="H29" s="11">
        <f t="shared" si="0"/>
        <v>0</v>
      </c>
      <c r="I29" s="12">
        <f t="shared" si="1"/>
        <v>0</v>
      </c>
      <c r="K29" s="24"/>
    </row>
    <row r="30" spans="2:11" ht="15">
      <c r="B30" s="187"/>
      <c r="C30" s="207"/>
      <c r="D30" s="186"/>
      <c r="E30" s="7">
        <f>ROUND((IF(C30&lt;1994,((D30+D30*'Información general'!$F$11)+((D30+D30*'Información general'!$F$11)*'Información general'!$E$52)),(D30+D30*'Información general'!$F$11))),0)</f>
        <v>0</v>
      </c>
      <c r="F30" s="10">
        <f>ROUND((D30+D30*'Información general'!$F$11),0)</f>
        <v>0</v>
      </c>
      <c r="G30" s="10">
        <f>ROUND((D30+D30*'Información general'!$F$11),0)</f>
        <v>0</v>
      </c>
      <c r="H30" s="11">
        <f t="shared" si="0"/>
        <v>0</v>
      </c>
      <c r="I30" s="12">
        <f t="shared" si="1"/>
        <v>0</v>
      </c>
      <c r="K30" s="24"/>
    </row>
    <row r="31" spans="2:11" ht="15">
      <c r="B31" s="187"/>
      <c r="C31" s="207"/>
      <c r="D31" s="186"/>
      <c r="E31" s="7">
        <f>ROUND((IF(C31&lt;1994,((D31+D31*'Información general'!$F$11)+((D31+D31*'Información general'!$F$11)*'Información general'!$E$52)),(D31+D31*'Información general'!$F$11))),0)</f>
        <v>0</v>
      </c>
      <c r="F31" s="10">
        <f>ROUND((D31+D31*'Información general'!$F$11),0)</f>
        <v>0</v>
      </c>
      <c r="G31" s="10">
        <f>ROUND((D31+D31*'Información general'!$F$11),0)</f>
        <v>0</v>
      </c>
      <c r="H31" s="11">
        <f t="shared" si="0"/>
        <v>0</v>
      </c>
      <c r="I31" s="12">
        <f t="shared" si="1"/>
        <v>0</v>
      </c>
      <c r="K31" s="24"/>
    </row>
    <row r="32" spans="2:11" ht="15">
      <c r="B32" s="187"/>
      <c r="C32" s="207"/>
      <c r="D32" s="186"/>
      <c r="E32" s="7">
        <f>ROUND((IF(C32&lt;1994,((D32+D32*'Información general'!$F$11)+((D32+D32*'Información general'!$F$11)*'Información general'!$E$52)),(D32+D32*'Información general'!$F$11))),0)</f>
        <v>0</v>
      </c>
      <c r="F32" s="10">
        <f>ROUND((D32+D32*'Información general'!$F$11),0)</f>
        <v>0</v>
      </c>
      <c r="G32" s="10">
        <f>ROUND((D32+D32*'Información general'!$F$11),0)</f>
        <v>0</v>
      </c>
      <c r="H32" s="11">
        <f t="shared" si="0"/>
        <v>0</v>
      </c>
      <c r="I32" s="12">
        <f t="shared" si="1"/>
        <v>0</v>
      </c>
      <c r="K32" s="24"/>
    </row>
    <row r="33" spans="2:11" ht="15">
      <c r="B33" s="187"/>
      <c r="C33" s="207"/>
      <c r="D33" s="186"/>
      <c r="E33" s="7">
        <f>ROUND((IF(C33&lt;1994,((D33+D33*'Información general'!$F$11)+((D33+D33*'Información general'!$F$11)*'Información general'!$E$52)),(D33+D33*'Información general'!$F$11))),0)</f>
        <v>0</v>
      </c>
      <c r="F33" s="10">
        <f>ROUND((D33+D33*'Información general'!$F$11),0)</f>
        <v>0</v>
      </c>
      <c r="G33" s="10">
        <f>ROUND((D33+D33*'Información general'!$F$11),0)</f>
        <v>0</v>
      </c>
      <c r="H33" s="11">
        <f t="shared" si="0"/>
        <v>0</v>
      </c>
      <c r="I33" s="12">
        <f t="shared" si="1"/>
        <v>0</v>
      </c>
      <c r="K33" s="24"/>
    </row>
    <row r="34" spans="2:11" ht="15">
      <c r="B34" s="187"/>
      <c r="C34" s="207"/>
      <c r="D34" s="186"/>
      <c r="E34" s="7">
        <f>ROUND((IF(C34&lt;1994,((D34+D34*'Información general'!$F$11)+((D34+D34*'Información general'!$F$11)*'Información general'!$E$52)),(D34+D34*'Información general'!$F$11))),0)</f>
        <v>0</v>
      </c>
      <c r="F34" s="10">
        <f>ROUND((D34+D34*'Información general'!$F$11),0)</f>
        <v>0</v>
      </c>
      <c r="G34" s="10">
        <f>ROUND((D34+D34*'Información general'!$F$11),0)</f>
        <v>0</v>
      </c>
      <c r="H34" s="11">
        <f t="shared" si="0"/>
        <v>0</v>
      </c>
      <c r="I34" s="12">
        <f t="shared" si="1"/>
        <v>0</v>
      </c>
      <c r="K34" s="24"/>
    </row>
    <row r="35" spans="2:11" ht="15">
      <c r="B35" s="187"/>
      <c r="C35" s="207"/>
      <c r="D35" s="186"/>
      <c r="E35" s="7">
        <f>ROUND((IF(C35&lt;1994,((D35+D35*'Información general'!$F$11)+((D35+D35*'Información general'!$F$11)*'Información general'!$E$52)),(D35+D35*'Información general'!$F$11))),0)</f>
        <v>0</v>
      </c>
      <c r="F35" s="10">
        <f>ROUND((D35+D35*'Información general'!$F$11),0)</f>
        <v>0</v>
      </c>
      <c r="G35" s="10">
        <f>ROUND((D35+D35*'Información general'!$F$11),0)</f>
        <v>0</v>
      </c>
      <c r="H35" s="11">
        <f t="shared" si="0"/>
        <v>0</v>
      </c>
      <c r="I35" s="12">
        <f t="shared" si="1"/>
        <v>0</v>
      </c>
      <c r="K35" s="24"/>
    </row>
    <row r="36" spans="2:11" ht="15">
      <c r="B36" s="187"/>
      <c r="C36" s="207"/>
      <c r="D36" s="186"/>
      <c r="E36" s="7">
        <f>ROUND((IF(C36&lt;1994,((D36+D36*'Información general'!$F$11)+((D36+D36*'Información general'!$F$11)*'Información general'!$E$52)),(D36+D36*'Información general'!$F$11))),0)</f>
        <v>0</v>
      </c>
      <c r="F36" s="10">
        <f>ROUND((D36+D36*'Información general'!$F$11),0)</f>
        <v>0</v>
      </c>
      <c r="G36" s="10">
        <f>ROUND((D36+D36*'Información general'!$F$11),0)</f>
        <v>0</v>
      </c>
      <c r="H36" s="11">
        <f t="shared" si="0"/>
        <v>0</v>
      </c>
      <c r="I36" s="12">
        <f t="shared" si="1"/>
        <v>0</v>
      </c>
      <c r="K36" s="24"/>
    </row>
    <row r="37" spans="2:11" ht="15">
      <c r="B37" s="187"/>
      <c r="C37" s="207"/>
      <c r="D37" s="186"/>
      <c r="E37" s="7">
        <f>ROUND((IF(C37&lt;1994,((D37+D37*'Información general'!$F$11)+((D37+D37*'Información general'!$F$11)*'Información general'!$E$52)),(D37+D37*'Información general'!$F$11))),0)</f>
        <v>0</v>
      </c>
      <c r="F37" s="10">
        <f>ROUND((D37+D37*'Información general'!$F$11),0)</f>
        <v>0</v>
      </c>
      <c r="G37" s="10">
        <f>ROUND((D37+D37*'Información general'!$F$11),0)</f>
        <v>0</v>
      </c>
      <c r="H37" s="11">
        <f t="shared" si="0"/>
        <v>0</v>
      </c>
      <c r="I37" s="12">
        <f t="shared" si="1"/>
        <v>0</v>
      </c>
      <c r="K37" s="24"/>
    </row>
    <row r="38" spans="2:11" ht="15">
      <c r="B38" s="187"/>
      <c r="C38" s="207"/>
      <c r="D38" s="186"/>
      <c r="E38" s="7">
        <f>ROUND((IF(C38&lt;1994,((D38+D38*'Información general'!$F$11)+((D38+D38*'Información general'!$F$11)*'Información general'!$E$52)),(D38+D38*'Información general'!$F$11))),0)</f>
        <v>0</v>
      </c>
      <c r="F38" s="10">
        <f>ROUND((D38+D38*'Información general'!$F$11),0)</f>
        <v>0</v>
      </c>
      <c r="G38" s="10">
        <f>ROUND((D38+D38*'Información general'!$F$11),0)</f>
        <v>0</v>
      </c>
      <c r="H38" s="11">
        <f t="shared" si="0"/>
        <v>0</v>
      </c>
      <c r="I38" s="12">
        <f t="shared" si="1"/>
        <v>0</v>
      </c>
      <c r="K38" s="24"/>
    </row>
    <row r="39" spans="2:11" ht="15">
      <c r="B39" s="187"/>
      <c r="C39" s="207"/>
      <c r="D39" s="186"/>
      <c r="E39" s="7">
        <f>ROUND((IF(C39&lt;1994,((D39+D39*'Información general'!$F$11)+((D39+D39*'Información general'!$F$11)*'Información general'!$E$52)),(D39+D39*'Información general'!$F$11))),0)</f>
        <v>0</v>
      </c>
      <c r="F39" s="10">
        <f>ROUND((D39+D39*'Información general'!$F$11),0)</f>
        <v>0</v>
      </c>
      <c r="G39" s="10">
        <f>ROUND((D39+D39*'Información general'!$F$11),0)</f>
        <v>0</v>
      </c>
      <c r="H39" s="11">
        <f t="shared" si="0"/>
        <v>0</v>
      </c>
      <c r="I39" s="12">
        <f t="shared" si="1"/>
        <v>0</v>
      </c>
      <c r="K39" s="24"/>
    </row>
    <row r="40" spans="2:11" ht="15">
      <c r="B40" s="187"/>
      <c r="C40" s="207"/>
      <c r="D40" s="186"/>
      <c r="E40" s="7">
        <f>ROUND((IF(C40&lt;1994,((D40+D40*'Información general'!$F$11)+((D40+D40*'Información general'!$F$11)*'Información general'!$E$52)),(D40+D40*'Información general'!$F$11))),0)</f>
        <v>0</v>
      </c>
      <c r="F40" s="10">
        <f>ROUND((D40+D40*'Información general'!$F$11),0)</f>
        <v>0</v>
      </c>
      <c r="G40" s="10">
        <f>ROUND((D40+D40*'Información general'!$F$11),0)</f>
        <v>0</v>
      </c>
      <c r="H40" s="11">
        <f t="shared" si="0"/>
        <v>0</v>
      </c>
      <c r="I40" s="12">
        <f t="shared" si="1"/>
        <v>0</v>
      </c>
      <c r="K40" s="24"/>
    </row>
    <row r="41" spans="2:11" ht="15">
      <c r="B41" s="187"/>
      <c r="C41" s="207"/>
      <c r="D41" s="186"/>
      <c r="E41" s="7">
        <f>ROUND((IF(C41&lt;1994,((D41+D41*'Información general'!$F$11)+((D41+D41*'Información general'!$F$11)*'Información general'!$E$52)),(D41+D41*'Información general'!$F$11))),0)</f>
        <v>0</v>
      </c>
      <c r="F41" s="10">
        <f>ROUND((D41+D41*'Información general'!$F$11),0)</f>
        <v>0</v>
      </c>
      <c r="G41" s="10">
        <f>ROUND((D41+D41*'Información general'!$F$11),0)</f>
        <v>0</v>
      </c>
      <c r="H41" s="11">
        <f t="shared" si="0"/>
        <v>0</v>
      </c>
      <c r="I41" s="12">
        <f t="shared" si="1"/>
        <v>0</v>
      </c>
      <c r="K41" s="24"/>
    </row>
    <row r="42" spans="2:11" ht="15">
      <c r="B42" s="187"/>
      <c r="C42" s="207"/>
      <c r="D42" s="186"/>
      <c r="E42" s="7">
        <f>ROUND((IF(C42&lt;1994,((D42+D42*'Información general'!$F$11)+((D42+D42*'Información general'!$F$11)*'Información general'!$E$52)),(D42+D42*'Información general'!$F$11))),0)</f>
        <v>0</v>
      </c>
      <c r="F42" s="10">
        <f>ROUND((D42+D42*'Información general'!$F$11),0)</f>
        <v>0</v>
      </c>
      <c r="G42" s="10">
        <f>ROUND((D42+D42*'Información general'!$F$11),0)</f>
        <v>0</v>
      </c>
      <c r="H42" s="11">
        <f t="shared" si="0"/>
        <v>0</v>
      </c>
      <c r="I42" s="12">
        <f t="shared" si="1"/>
        <v>0</v>
      </c>
      <c r="K42" s="24"/>
    </row>
    <row r="43" spans="2:11" ht="15">
      <c r="B43" s="187"/>
      <c r="C43" s="207"/>
      <c r="D43" s="186"/>
      <c r="E43" s="7">
        <f>ROUND((IF(C43&lt;1994,((D43+D43*'Información general'!$F$11)+((D43+D43*'Información general'!$F$11)*'Información general'!$E$52)),(D43+D43*'Información general'!$F$11))),0)</f>
        <v>0</v>
      </c>
      <c r="F43" s="10">
        <f>ROUND((D43+D43*'Información general'!$F$11),0)</f>
        <v>0</v>
      </c>
      <c r="G43" s="10">
        <f>ROUND((D43+D43*'Información general'!$F$11),0)</f>
        <v>0</v>
      </c>
      <c r="H43" s="11">
        <f t="shared" si="0"/>
        <v>0</v>
      </c>
      <c r="I43" s="12">
        <f t="shared" si="1"/>
        <v>0</v>
      </c>
      <c r="K43" s="24"/>
    </row>
    <row r="44" spans="2:11" ht="15">
      <c r="B44" s="187"/>
      <c r="C44" s="207"/>
      <c r="D44" s="186"/>
      <c r="E44" s="7">
        <f>ROUND((IF(C44&lt;1994,((D44+D44*'Información general'!$F$11)+((D44+D44*'Información general'!$F$11)*'Información general'!$E$52)),(D44+D44*'Información general'!$F$11))),0)</f>
        <v>0</v>
      </c>
      <c r="F44" s="10">
        <f>ROUND((D44+D44*'Información general'!$F$11),0)</f>
        <v>0</v>
      </c>
      <c r="G44" s="10">
        <f>ROUND((D44+D44*'Información general'!$F$11),0)</f>
        <v>0</v>
      </c>
      <c r="H44" s="11">
        <f t="shared" si="0"/>
        <v>0</v>
      </c>
      <c r="I44" s="12">
        <f t="shared" si="1"/>
        <v>0</v>
      </c>
      <c r="K44" s="24"/>
    </row>
    <row r="45" spans="2:11" ht="15">
      <c r="B45" s="187"/>
      <c r="C45" s="207"/>
      <c r="D45" s="186"/>
      <c r="E45" s="7">
        <f>ROUND((IF(C45&lt;1994,((D45+D45*'Información general'!$F$11)+((D45+D45*'Información general'!$F$11)*'Información general'!$E$52)),(D45+D45*'Información general'!$F$11))),0)</f>
        <v>0</v>
      </c>
      <c r="F45" s="10">
        <f>ROUND((D45+D45*'Información general'!$F$11),0)</f>
        <v>0</v>
      </c>
      <c r="G45" s="10">
        <f>ROUND((D45+D45*'Información general'!$F$11),0)</f>
        <v>0</v>
      </c>
      <c r="H45" s="11">
        <f t="shared" si="0"/>
        <v>0</v>
      </c>
      <c r="I45" s="12">
        <f t="shared" si="1"/>
        <v>0</v>
      </c>
      <c r="K45" s="24"/>
    </row>
    <row r="46" spans="2:11" ht="15">
      <c r="B46" s="187"/>
      <c r="C46" s="207"/>
      <c r="D46" s="186"/>
      <c r="E46" s="7">
        <f>ROUND((IF(C46&lt;1994,((D46+D46*'Información general'!$F$11)+((D46+D46*'Información general'!$F$11)*'Información general'!$E$52)),(D46+D46*'Información general'!$F$11))),0)</f>
        <v>0</v>
      </c>
      <c r="F46" s="10">
        <f>ROUND((D46+D46*'Información general'!$F$11),0)</f>
        <v>0</v>
      </c>
      <c r="G46" s="10">
        <f>ROUND((D46+D46*'Información general'!$F$11),0)</f>
        <v>0</v>
      </c>
      <c r="H46" s="11">
        <f t="shared" si="0"/>
        <v>0</v>
      </c>
      <c r="I46" s="12">
        <f t="shared" si="1"/>
        <v>0</v>
      </c>
      <c r="K46" s="24"/>
    </row>
    <row r="47" spans="2:11" ht="15">
      <c r="B47" s="187"/>
      <c r="C47" s="207"/>
      <c r="D47" s="186"/>
      <c r="E47" s="7">
        <f>ROUND((IF(C47&lt;1994,((D47+D47*'Información general'!$F$11)+((D47+D47*'Información general'!$F$11)*'Información general'!$E$52)),(D47+D47*'Información general'!$F$11))),0)</f>
        <v>0</v>
      </c>
      <c r="F47" s="10">
        <f>ROUND((D47+D47*'Información general'!$F$11),0)</f>
        <v>0</v>
      </c>
      <c r="G47" s="10">
        <f>ROUND((D47+D47*'Información general'!$F$11),0)</f>
        <v>0</v>
      </c>
      <c r="H47" s="11">
        <f t="shared" si="0"/>
        <v>0</v>
      </c>
      <c r="I47" s="12">
        <f t="shared" si="1"/>
        <v>0</v>
      </c>
      <c r="K47" s="24"/>
    </row>
    <row r="48" spans="2:11" ht="15">
      <c r="B48" s="187"/>
      <c r="C48" s="207"/>
      <c r="D48" s="186"/>
      <c r="E48" s="7">
        <f>ROUND((IF(C48&lt;1994,((D48+D48*'Información general'!$F$11)+((D48+D48*'Información general'!$F$11)*'Información general'!$E$52)),(D48+D48*'Información general'!$F$11))),0)</f>
        <v>0</v>
      </c>
      <c r="F48" s="10">
        <f>ROUND((D48+D48*'Información general'!$F$11),0)</f>
        <v>0</v>
      </c>
      <c r="G48" s="10">
        <f>ROUND((D48+D48*'Información general'!$F$11),0)</f>
        <v>0</v>
      </c>
      <c r="H48" s="11">
        <f t="shared" si="0"/>
        <v>0</v>
      </c>
      <c r="I48" s="12">
        <f t="shared" si="1"/>
        <v>0</v>
      </c>
      <c r="K48" s="24"/>
    </row>
    <row r="49" spans="2:11" ht="15">
      <c r="B49" s="187"/>
      <c r="C49" s="207"/>
      <c r="D49" s="186"/>
      <c r="E49" s="7">
        <f>ROUND((IF(C49&lt;1994,((D49+D49*'Información general'!$F$11)+((D49+D49*'Información general'!$F$11)*'Información general'!$E$52)),(D49+D49*'Información general'!$F$11))),0)</f>
        <v>0</v>
      </c>
      <c r="F49" s="10">
        <f>ROUND((D49+D49*'Información general'!$F$11),0)</f>
        <v>0</v>
      </c>
      <c r="G49" s="10">
        <f>ROUND((D49+D49*'Información general'!$F$11),0)</f>
        <v>0</v>
      </c>
      <c r="H49" s="11">
        <f t="shared" si="0"/>
        <v>0</v>
      </c>
      <c r="I49" s="12">
        <f t="shared" si="1"/>
        <v>0</v>
      </c>
      <c r="K49" s="24"/>
    </row>
    <row r="50" spans="2:11" ht="15">
      <c r="B50" s="187"/>
      <c r="C50" s="207"/>
      <c r="D50" s="186"/>
      <c r="E50" s="7">
        <f>ROUND((IF(C50&lt;1994,((D50+D50*'Información general'!$F$11)+((D50+D50*'Información general'!$F$11)*'Información general'!$E$52)),(D50+D50*'Información general'!$F$11))),0)</f>
        <v>0</v>
      </c>
      <c r="F50" s="10">
        <f>ROUND((D50+D50*'Información general'!$F$11),0)</f>
        <v>0</v>
      </c>
      <c r="G50" s="10">
        <f>ROUND((D50+D50*'Información general'!$F$11),0)</f>
        <v>0</v>
      </c>
      <c r="H50" s="11">
        <f t="shared" si="0"/>
        <v>0</v>
      </c>
      <c r="I50" s="12">
        <f t="shared" si="1"/>
        <v>0</v>
      </c>
      <c r="K50" s="24"/>
    </row>
    <row r="51" spans="2:11" ht="15">
      <c r="B51" s="187"/>
      <c r="C51" s="207"/>
      <c r="D51" s="186"/>
      <c r="E51" s="7">
        <f>ROUND((IF(C51&lt;1994,((D51+D51*'Información general'!$F$11)+((D51+D51*'Información general'!$F$11)*'Información general'!$E$52)),(D51+D51*'Información general'!$F$11))),0)</f>
        <v>0</v>
      </c>
      <c r="F51" s="10">
        <f>ROUND((D51+D51*'Información general'!$F$11),0)</f>
        <v>0</v>
      </c>
      <c r="G51" s="10">
        <f>ROUND((D51+D51*'Información general'!$F$11),0)</f>
        <v>0</v>
      </c>
      <c r="H51" s="11">
        <f t="shared" si="0"/>
        <v>0</v>
      </c>
      <c r="I51" s="12">
        <f t="shared" si="1"/>
        <v>0</v>
      </c>
      <c r="K51" s="24"/>
    </row>
    <row r="52" spans="2:11" ht="15">
      <c r="B52" s="187"/>
      <c r="C52" s="207"/>
      <c r="D52" s="186"/>
      <c r="E52" s="7">
        <f>ROUND((IF(C52&lt;1994,((D52+D52*'Información general'!$F$11)+((D52+D52*'Información general'!$F$11)*'Información general'!$E$52)),(D52+D52*'Información general'!$F$11))),0)</f>
        <v>0</v>
      </c>
      <c r="F52" s="10">
        <f>ROUND((D52+D52*'Información general'!$F$11),0)</f>
        <v>0</v>
      </c>
      <c r="G52" s="10">
        <f>ROUND((D52+D52*'Información general'!$F$11),0)</f>
        <v>0</v>
      </c>
      <c r="H52" s="11">
        <f t="shared" si="0"/>
        <v>0</v>
      </c>
      <c r="I52" s="12">
        <f t="shared" si="1"/>
        <v>0</v>
      </c>
      <c r="K52" s="24"/>
    </row>
    <row r="53" spans="2:11" ht="15">
      <c r="B53" s="187"/>
      <c r="C53" s="207"/>
      <c r="D53" s="186"/>
      <c r="E53" s="7">
        <f>ROUND((IF(C53&lt;1994,((D53+D53*'Información general'!$F$11)+((D53+D53*'Información general'!$F$11)*'Información general'!$E$52)),(D53+D53*'Información general'!$F$11))),0)</f>
        <v>0</v>
      </c>
      <c r="F53" s="10">
        <f>ROUND((D53+D53*'Información general'!$F$11),0)</f>
        <v>0</v>
      </c>
      <c r="G53" s="10">
        <f>ROUND((D53+D53*'Información general'!$F$11),0)</f>
        <v>0</v>
      </c>
      <c r="H53" s="11">
        <f t="shared" si="0"/>
        <v>0</v>
      </c>
      <c r="I53" s="12">
        <f t="shared" si="1"/>
        <v>0</v>
      </c>
      <c r="K53" s="24"/>
    </row>
    <row r="54" spans="2:11" ht="15">
      <c r="B54" s="187"/>
      <c r="C54" s="207"/>
      <c r="D54" s="186"/>
      <c r="E54" s="7">
        <f>ROUND((IF(C54&lt;1994,((D54+D54*'Información general'!$F$11)+((D54+D54*'Información general'!$F$11)*'Información general'!$E$52)),(D54+D54*'Información general'!$F$11))),0)</f>
        <v>0</v>
      </c>
      <c r="F54" s="10">
        <f>ROUND((D54+D54*'Información general'!$F$11),0)</f>
        <v>0</v>
      </c>
      <c r="G54" s="10">
        <f>ROUND((D54+D54*'Información general'!$F$11),0)</f>
        <v>0</v>
      </c>
      <c r="H54" s="11">
        <f t="shared" si="0"/>
        <v>0</v>
      </c>
      <c r="I54" s="12">
        <f t="shared" si="1"/>
        <v>0</v>
      </c>
      <c r="K54" s="24"/>
    </row>
    <row r="55" spans="2:11" ht="15">
      <c r="B55" s="187"/>
      <c r="C55" s="207"/>
      <c r="D55" s="186"/>
      <c r="E55" s="7">
        <f>ROUND((IF(C55&lt;1994,((D55+D55*'Información general'!$F$11)+((D55+D55*'Información general'!$F$11)*'Información general'!$E$52)),(D55+D55*'Información general'!$F$11))),0)</f>
        <v>0</v>
      </c>
      <c r="F55" s="10">
        <f>ROUND((D55+D55*'Información general'!$F$11),0)</f>
        <v>0</v>
      </c>
      <c r="G55" s="10">
        <f>ROUND((D55+D55*'Información general'!$F$11),0)</f>
        <v>0</v>
      </c>
      <c r="H55" s="11">
        <f t="shared" si="0"/>
        <v>0</v>
      </c>
      <c r="I55" s="12">
        <f t="shared" si="1"/>
        <v>0</v>
      </c>
      <c r="K55" s="24"/>
    </row>
    <row r="56" spans="2:11" ht="15">
      <c r="B56" s="187"/>
      <c r="C56" s="207"/>
      <c r="D56" s="186"/>
      <c r="E56" s="7">
        <f>ROUND((IF(C56&lt;1994,((D56+D56*'Información general'!$F$11)+((D56+D56*'Información general'!$F$11)*'Información general'!$E$52)),(D56+D56*'Información general'!$F$11))),0)</f>
        <v>0</v>
      </c>
      <c r="F56" s="10">
        <f>ROUND((D56+D56*'Información general'!$F$11),0)</f>
        <v>0</v>
      </c>
      <c r="G56" s="10">
        <f>ROUND((D56+D56*'Información general'!$F$11),0)</f>
        <v>0</v>
      </c>
      <c r="H56" s="11">
        <f t="shared" si="0"/>
        <v>0</v>
      </c>
      <c r="I56" s="12">
        <f t="shared" si="1"/>
        <v>0</v>
      </c>
      <c r="K56" s="24"/>
    </row>
    <row r="57" spans="2:11" ht="15">
      <c r="B57" s="187"/>
      <c r="C57" s="207"/>
      <c r="D57" s="186"/>
      <c r="E57" s="7">
        <f>ROUND((IF(C57&lt;1994,((D57+D57*'Información general'!$F$11)+((D57+D57*'Información general'!$F$11)*'Información general'!$E$52)),(D57+D57*'Información general'!$F$11))),0)</f>
        <v>0</v>
      </c>
      <c r="F57" s="10">
        <f>ROUND((D57+D57*'Información general'!$F$11),0)</f>
        <v>0</v>
      </c>
      <c r="G57" s="10">
        <f>ROUND((D57+D57*'Información general'!$F$11),0)</f>
        <v>0</v>
      </c>
      <c r="H57" s="11">
        <f t="shared" si="0"/>
        <v>0</v>
      </c>
      <c r="I57" s="12">
        <f t="shared" si="1"/>
        <v>0</v>
      </c>
      <c r="K57" s="24"/>
    </row>
    <row r="58" spans="2:11" ht="15">
      <c r="B58" s="187"/>
      <c r="C58" s="207"/>
      <c r="D58" s="186"/>
      <c r="E58" s="7">
        <f>ROUND((IF(C58&lt;1994,((D58+D58*'Información general'!$F$11)+((D58+D58*'Información general'!$F$11)*'Información general'!$E$52)),(D58+D58*'Información general'!$F$11))),0)</f>
        <v>0</v>
      </c>
      <c r="F58" s="10">
        <f>ROUND((D58+D58*'Información general'!$F$11),0)</f>
        <v>0</v>
      </c>
      <c r="G58" s="10">
        <f>ROUND((D58+D58*'Información general'!$F$11),0)</f>
        <v>0</v>
      </c>
      <c r="H58" s="11">
        <f t="shared" si="0"/>
        <v>0</v>
      </c>
      <c r="I58" s="12">
        <f t="shared" si="1"/>
        <v>0</v>
      </c>
      <c r="K58" s="24"/>
    </row>
    <row r="59" spans="2:11" ht="15">
      <c r="B59" s="187"/>
      <c r="C59" s="207"/>
      <c r="D59" s="186"/>
      <c r="E59" s="7">
        <f>ROUND((IF(C59&lt;1994,((D59+D59*'Información general'!$F$11)+((D59+D59*'Información general'!$F$11)*'Información general'!$E$52)),(D59+D59*'Información general'!$F$11))),0)</f>
        <v>0</v>
      </c>
      <c r="F59" s="10">
        <f>ROUND((D59+D59*'Información general'!$F$11),0)</f>
        <v>0</v>
      </c>
      <c r="G59" s="10">
        <f>ROUND((D59+D59*'Información general'!$F$11),0)</f>
        <v>0</v>
      </c>
      <c r="H59" s="11">
        <f t="shared" si="0"/>
        <v>0</v>
      </c>
      <c r="I59" s="12">
        <f t="shared" si="1"/>
        <v>0</v>
      </c>
      <c r="K59" s="24"/>
    </row>
    <row r="60" spans="2:11" ht="15">
      <c r="B60" s="187"/>
      <c r="C60" s="207"/>
      <c r="D60" s="186"/>
      <c r="E60" s="7">
        <f>ROUND((IF(C60&lt;1994,((D60+D60*'Información general'!$F$11)+((D60+D60*'Información general'!$F$11)*'Información general'!$E$52)),(D60+D60*'Información general'!$F$11))),0)</f>
        <v>0</v>
      </c>
      <c r="F60" s="10">
        <f>ROUND((D60+D60*'Información general'!$F$11),0)</f>
        <v>0</v>
      </c>
      <c r="G60" s="10">
        <f>ROUND((D60+D60*'Información general'!$F$11),0)</f>
        <v>0</v>
      </c>
      <c r="H60" s="11">
        <f t="shared" si="0"/>
        <v>0</v>
      </c>
      <c r="I60" s="12">
        <f t="shared" si="1"/>
        <v>0</v>
      </c>
      <c r="K60" s="24"/>
    </row>
    <row r="61" spans="2:11" ht="15">
      <c r="B61" s="187"/>
      <c r="C61" s="207"/>
      <c r="D61" s="186"/>
      <c r="E61" s="7">
        <f>ROUND((IF(C61&lt;1994,((D61+D61*'Información general'!$F$11)+((D61+D61*'Información general'!$F$11)*'Información general'!$E$52)),(D61+D61*'Información general'!$F$11))),0)</f>
        <v>0</v>
      </c>
      <c r="F61" s="10">
        <f>ROUND((D61+D61*'Información general'!$F$11),0)</f>
        <v>0</v>
      </c>
      <c r="G61" s="10">
        <f>ROUND((D61+D61*'Información general'!$F$11),0)</f>
        <v>0</v>
      </c>
      <c r="H61" s="11">
        <f t="shared" si="0"/>
        <v>0</v>
      </c>
      <c r="I61" s="12">
        <f t="shared" si="1"/>
        <v>0</v>
      </c>
      <c r="K61" s="24"/>
    </row>
    <row r="62" spans="2:9" ht="15">
      <c r="B62" s="188"/>
      <c r="C62" s="207"/>
      <c r="D62" s="186"/>
      <c r="E62" s="7">
        <f>ROUND((IF(C62&lt;1994,((D62+D62*'Información general'!$F$11)+((D62+D62*'Información general'!$F$11)*'Información general'!$E$52)),(D62+D62*'Información general'!$F$11))),0)</f>
        <v>0</v>
      </c>
      <c r="F62" s="10">
        <f>ROUND((D62+D62*'Información general'!$F$11),0)</f>
        <v>0</v>
      </c>
      <c r="G62" s="10">
        <f>ROUND((D62+D62*'Información general'!$F$11),0)</f>
        <v>0</v>
      </c>
      <c r="H62" s="11">
        <f t="shared" si="0"/>
        <v>0</v>
      </c>
      <c r="I62" s="12">
        <f t="shared" si="1"/>
        <v>0</v>
      </c>
    </row>
    <row r="63" spans="2:9" ht="15">
      <c r="B63" s="188"/>
      <c r="C63" s="207"/>
      <c r="D63" s="186"/>
      <c r="E63" s="7">
        <f>ROUND((IF(C63&lt;1994,((D63+D63*'Información general'!$F$11)+((D63+D63*'Información general'!$F$11)*'Información general'!$E$52)),(D63+D63*'Información general'!$F$11))),0)</f>
        <v>0</v>
      </c>
      <c r="F63" s="10">
        <f>ROUND((D63+D63*'Información general'!$F$11),0)</f>
        <v>0</v>
      </c>
      <c r="G63" s="10">
        <f>ROUND((D63+D63*'Información general'!$F$11),0)</f>
        <v>0</v>
      </c>
      <c r="H63" s="11">
        <f t="shared" si="0"/>
        <v>0</v>
      </c>
      <c r="I63" s="12">
        <f t="shared" si="1"/>
        <v>0</v>
      </c>
    </row>
    <row r="64" spans="2:9" ht="15.75" thickBot="1">
      <c r="B64" s="189"/>
      <c r="C64" s="208"/>
      <c r="D64" s="186"/>
      <c r="E64" s="7">
        <f>ROUND((IF(C64&lt;1994,((D64+D64*'Información general'!$F$11)+((D64+D64*'Información general'!$F$11)*'Información general'!$E$52)),(D64+D64*'Información general'!$F$11))),0)</f>
        <v>0</v>
      </c>
      <c r="F64" s="13">
        <f>ROUND((D64+D64*'Información general'!$F$11),0)</f>
        <v>0</v>
      </c>
      <c r="G64" s="13">
        <f>ROUND((D64+D64*'Información general'!$F$11),0)</f>
        <v>0</v>
      </c>
      <c r="H64" s="14">
        <f t="shared" si="0"/>
        <v>0</v>
      </c>
      <c r="I64" s="15">
        <f t="shared" si="1"/>
        <v>0</v>
      </c>
    </row>
    <row r="65" spans="2:9" ht="16.5" thickBot="1">
      <c r="B65" s="184" t="s">
        <v>15</v>
      </c>
      <c r="C65" s="182"/>
      <c r="D65" s="181">
        <f>SUM(D11:D64)</f>
        <v>550022</v>
      </c>
      <c r="E65" s="181">
        <f>SUM(E11:E64)</f>
        <v>577523</v>
      </c>
      <c r="F65" s="181">
        <f>SUM(F11:F64)</f>
        <v>577523</v>
      </c>
      <c r="G65" s="181">
        <f>SUM(G11:G64)</f>
        <v>577523</v>
      </c>
      <c r="H65" s="182"/>
      <c r="I65" s="183">
        <f>SUM(I11:I64)</f>
        <v>8085322</v>
      </c>
    </row>
    <row r="66" ht="12.75">
      <c r="I66" s="205"/>
    </row>
    <row r="67" ht="12.75" hidden="1">
      <c r="I67" s="205"/>
    </row>
    <row r="68" ht="12.75" hidden="1">
      <c r="I68" s="205"/>
    </row>
    <row r="69" ht="12.75" hidden="1">
      <c r="I69" s="205"/>
    </row>
    <row r="70" ht="12.75" hidden="1">
      <c r="I70" s="205"/>
    </row>
    <row r="71" ht="12.75" hidden="1">
      <c r="I71" s="205"/>
    </row>
    <row r="72" ht="12.75" hidden="1">
      <c r="I72" s="205"/>
    </row>
    <row r="73" ht="12.75" hidden="1">
      <c r="I73" s="205"/>
    </row>
    <row r="74" ht="12.75" hidden="1">
      <c r="I74" s="205"/>
    </row>
    <row r="75" ht="12.75" hidden="1">
      <c r="I75" s="205"/>
    </row>
    <row r="76" ht="12.75" hidden="1">
      <c r="I76" s="205"/>
    </row>
    <row r="77" ht="12.75" hidden="1">
      <c r="I77" s="205"/>
    </row>
    <row r="78" ht="12.75" hidden="1">
      <c r="I78" s="205"/>
    </row>
    <row r="79" ht="12.75" hidden="1">
      <c r="I79" s="205"/>
    </row>
    <row r="80" ht="12.75" hidden="1">
      <c r="I80" s="205"/>
    </row>
    <row r="81" ht="12.75" hidden="1">
      <c r="I81" s="205"/>
    </row>
    <row r="82" ht="12.75" hidden="1">
      <c r="I82" s="205"/>
    </row>
    <row r="83" ht="12.75" hidden="1">
      <c r="I83" s="205"/>
    </row>
    <row r="84" ht="12.75" hidden="1">
      <c r="I84" s="205"/>
    </row>
    <row r="85" ht="12.75" hidden="1">
      <c r="I85" s="205"/>
    </row>
    <row r="86" ht="12.75" hidden="1">
      <c r="I86" s="205"/>
    </row>
    <row r="87" ht="12.75" hidden="1">
      <c r="I87" s="205"/>
    </row>
    <row r="88" ht="12.75" hidden="1">
      <c r="I88" s="205"/>
    </row>
    <row r="89" ht="12.75" hidden="1">
      <c r="I89" s="205"/>
    </row>
    <row r="90" ht="12.75" hidden="1">
      <c r="I90" s="205"/>
    </row>
    <row r="91" ht="12.75" hidden="1">
      <c r="I91" s="205"/>
    </row>
    <row r="92" ht="12.75" hidden="1">
      <c r="I92" s="205"/>
    </row>
    <row r="93" ht="12.75" hidden="1">
      <c r="I93" s="205"/>
    </row>
    <row r="94" ht="12.75" hidden="1">
      <c r="I94" s="205"/>
    </row>
    <row r="95" ht="12.75" hidden="1">
      <c r="I95" s="205"/>
    </row>
    <row r="96" ht="12.75" hidden="1">
      <c r="I96" s="205"/>
    </row>
    <row r="97" ht="12.75" hidden="1">
      <c r="I97" s="205"/>
    </row>
    <row r="98" ht="12.75" hidden="1">
      <c r="I98" s="205"/>
    </row>
    <row r="99" ht="12.75" hidden="1">
      <c r="I99" s="205"/>
    </row>
    <row r="100" ht="12.75" hidden="1">
      <c r="I100" s="205"/>
    </row>
    <row r="101" ht="12.75" hidden="1">
      <c r="I101" s="205"/>
    </row>
    <row r="102" ht="12.75" hidden="1">
      <c r="I102" s="205"/>
    </row>
    <row r="103" ht="12.75" hidden="1">
      <c r="I103" s="205"/>
    </row>
    <row r="104" ht="12.75" hidden="1">
      <c r="I104" s="205"/>
    </row>
    <row r="105" ht="12.75" hidden="1">
      <c r="I105" s="205"/>
    </row>
    <row r="106" ht="12.75" hidden="1">
      <c r="I106" s="205"/>
    </row>
    <row r="107" ht="12.75" hidden="1">
      <c r="I107" s="205"/>
    </row>
    <row r="108" ht="12.75" hidden="1">
      <c r="I108" s="205"/>
    </row>
    <row r="109" ht="12.75" hidden="1">
      <c r="I109" s="205"/>
    </row>
    <row r="110" ht="12.75" hidden="1">
      <c r="I110" s="205"/>
    </row>
    <row r="111" ht="12.75" hidden="1">
      <c r="I111" s="205"/>
    </row>
    <row r="112" ht="12.75" hidden="1">
      <c r="I112" s="205"/>
    </row>
    <row r="113" ht="12.75" hidden="1">
      <c r="I113" s="205"/>
    </row>
    <row r="114" ht="12.75" hidden="1">
      <c r="I114" s="205"/>
    </row>
    <row r="115" ht="12.75" hidden="1">
      <c r="I115" s="205"/>
    </row>
    <row r="116" ht="12.75" hidden="1">
      <c r="I116" s="205"/>
    </row>
    <row r="117" ht="12.75" hidden="1">
      <c r="I117" s="205"/>
    </row>
    <row r="118" ht="12.75" hidden="1">
      <c r="I118" s="205"/>
    </row>
    <row r="119" ht="12.75" hidden="1">
      <c r="I119" s="205"/>
    </row>
    <row r="120" ht="12.75" hidden="1">
      <c r="I120" s="205"/>
    </row>
    <row r="121" ht="12.75" hidden="1">
      <c r="I121" s="205"/>
    </row>
    <row r="122" ht="12.75" hidden="1">
      <c r="I122" s="205"/>
    </row>
    <row r="123" ht="12.75" hidden="1">
      <c r="I123" s="205"/>
    </row>
    <row r="124" ht="12.75" hidden="1">
      <c r="I124" s="205"/>
    </row>
    <row r="125" ht="12.75" hidden="1">
      <c r="I125" s="205"/>
    </row>
    <row r="126" ht="12.75" hidden="1">
      <c r="I126" s="205"/>
    </row>
    <row r="127" ht="12.75" hidden="1">
      <c r="I127" s="205"/>
    </row>
    <row r="128" ht="12.75" hidden="1">
      <c r="I128" s="205"/>
    </row>
    <row r="129" ht="12.75" hidden="1">
      <c r="I129" s="205"/>
    </row>
    <row r="130" ht="12.75" hidden="1">
      <c r="I130" s="205"/>
    </row>
    <row r="131" ht="12.75" hidden="1">
      <c r="I131" s="205"/>
    </row>
    <row r="132" ht="12.75" hidden="1">
      <c r="I132" s="205"/>
    </row>
    <row r="133" ht="12.75" hidden="1">
      <c r="I133" s="205"/>
    </row>
    <row r="134" ht="12.75" hidden="1">
      <c r="I134" s="205"/>
    </row>
    <row r="135" ht="12.75" hidden="1">
      <c r="I135" s="205"/>
    </row>
    <row r="136" ht="12.75" hidden="1">
      <c r="I136" s="205"/>
    </row>
    <row r="137" ht="12.75" hidden="1">
      <c r="I137" s="205"/>
    </row>
    <row r="138" ht="12.75" hidden="1">
      <c r="I138" s="205"/>
    </row>
    <row r="139" ht="12.75" hidden="1">
      <c r="I139" s="205"/>
    </row>
    <row r="140" ht="12.75" hidden="1">
      <c r="I140" s="205"/>
    </row>
    <row r="141" ht="12.75" hidden="1">
      <c r="I141" s="205"/>
    </row>
    <row r="142" ht="12.75" hidden="1">
      <c r="I142" s="205"/>
    </row>
    <row r="143" ht="12.75" hidden="1">
      <c r="I143" s="205"/>
    </row>
    <row r="144" ht="12.75" hidden="1">
      <c r="I144" s="205"/>
    </row>
    <row r="145" ht="12.75" hidden="1">
      <c r="I145" s="205"/>
    </row>
    <row r="146" ht="12.75" hidden="1">
      <c r="I146" s="205"/>
    </row>
    <row r="147" ht="12.75" hidden="1">
      <c r="I147" s="205"/>
    </row>
    <row r="148" ht="12.75" hidden="1">
      <c r="I148" s="205"/>
    </row>
    <row r="149" ht="12.75" hidden="1">
      <c r="I149" s="205"/>
    </row>
    <row r="150" ht="12.75" hidden="1">
      <c r="I150" s="205"/>
    </row>
    <row r="151" ht="12.75" hidden="1">
      <c r="I151" s="205"/>
    </row>
    <row r="152" ht="12.75" hidden="1">
      <c r="I152" s="205"/>
    </row>
    <row r="153" ht="12.75" hidden="1">
      <c r="I153" s="205"/>
    </row>
    <row r="154" ht="12.75" hidden="1">
      <c r="I154" s="205"/>
    </row>
    <row r="155" ht="12.75" hidden="1">
      <c r="I155" s="205"/>
    </row>
    <row r="156" ht="12.75" hidden="1">
      <c r="I156" s="205"/>
    </row>
    <row r="157" ht="12.75" hidden="1">
      <c r="I157" s="205"/>
    </row>
    <row r="158" ht="12.75" hidden="1">
      <c r="I158" s="205"/>
    </row>
    <row r="159" ht="12.75" hidden="1">
      <c r="I159" s="205"/>
    </row>
    <row r="160" ht="12.75" hidden="1">
      <c r="I160" s="205"/>
    </row>
    <row r="161" ht="12.75" hidden="1">
      <c r="I161" s="205"/>
    </row>
    <row r="162" ht="12.75" hidden="1">
      <c r="I162" s="205"/>
    </row>
    <row r="163" ht="12.75" hidden="1">
      <c r="I163" s="205"/>
    </row>
    <row r="164" ht="12.75" hidden="1">
      <c r="I164" s="205"/>
    </row>
    <row r="165" ht="12.75" hidden="1">
      <c r="I165" s="205"/>
    </row>
    <row r="166" ht="12.75" hidden="1">
      <c r="I166" s="205"/>
    </row>
    <row r="167" ht="12.75" hidden="1">
      <c r="I167" s="205"/>
    </row>
    <row r="168" ht="12.75" hidden="1">
      <c r="I168" s="205"/>
    </row>
    <row r="169" ht="12.75" hidden="1">
      <c r="I169" s="205"/>
    </row>
    <row r="170" ht="12.75" hidden="1">
      <c r="I170" s="205"/>
    </row>
    <row r="171" ht="12.75" hidden="1">
      <c r="I171" s="205"/>
    </row>
    <row r="172" ht="12.75" hidden="1">
      <c r="I172" s="205"/>
    </row>
    <row r="173" ht="12.75" hidden="1">
      <c r="I173" s="205"/>
    </row>
    <row r="174" ht="12.75" hidden="1">
      <c r="I174" s="205"/>
    </row>
    <row r="175" ht="12.75" hidden="1">
      <c r="I175" s="205"/>
    </row>
    <row r="176" ht="12.75" hidden="1">
      <c r="I176" s="205"/>
    </row>
    <row r="177" ht="12.75" hidden="1">
      <c r="I177" s="205"/>
    </row>
    <row r="178" ht="12.75" hidden="1">
      <c r="I178" s="205"/>
    </row>
    <row r="179" ht="12.75" hidden="1">
      <c r="I179" s="205"/>
    </row>
    <row r="180" ht="12.75" hidden="1">
      <c r="I180" s="205"/>
    </row>
    <row r="181" ht="12.75" hidden="1">
      <c r="I181" s="205"/>
    </row>
    <row r="182" ht="12.75" hidden="1">
      <c r="I182" s="205"/>
    </row>
    <row r="183" ht="12.75" hidden="1">
      <c r="I183" s="205"/>
    </row>
    <row r="184" ht="12.75" hidden="1">
      <c r="I184" s="205"/>
    </row>
    <row r="185" ht="12.75" hidden="1">
      <c r="I185" s="205"/>
    </row>
    <row r="186" ht="12.75" hidden="1">
      <c r="I186" s="205"/>
    </row>
    <row r="187" ht="12.75" hidden="1">
      <c r="I187" s="205"/>
    </row>
    <row r="188" ht="12.75" hidden="1">
      <c r="I188" s="205"/>
    </row>
    <row r="189" ht="12.75" hidden="1">
      <c r="I189" s="205"/>
    </row>
    <row r="190" ht="12.75" hidden="1">
      <c r="I190" s="205"/>
    </row>
    <row r="191" ht="12.75" hidden="1">
      <c r="I191" s="205"/>
    </row>
    <row r="192" ht="12.75" hidden="1">
      <c r="I192" s="205"/>
    </row>
    <row r="193" ht="12.75" hidden="1">
      <c r="I193" s="205"/>
    </row>
    <row r="194" ht="12.75" hidden="1">
      <c r="I194" s="205"/>
    </row>
    <row r="195" ht="12.75" hidden="1">
      <c r="I195" s="205"/>
    </row>
    <row r="196" ht="12.75" hidden="1">
      <c r="I196" s="205"/>
    </row>
    <row r="197" ht="12.75" hidden="1">
      <c r="I197" s="205"/>
    </row>
    <row r="198" ht="12.75" hidden="1">
      <c r="I198" s="205"/>
    </row>
    <row r="199" ht="12.75" hidden="1">
      <c r="I199" s="205"/>
    </row>
    <row r="200" ht="12.75" hidden="1">
      <c r="I200" s="205"/>
    </row>
    <row r="201" ht="12.75" hidden="1">
      <c r="I201" s="205"/>
    </row>
    <row r="202" ht="12.75" hidden="1">
      <c r="I202" s="205"/>
    </row>
    <row r="203" ht="12.75" hidden="1">
      <c r="I203" s="205"/>
    </row>
    <row r="204" ht="12.75" hidden="1">
      <c r="I204" s="205"/>
    </row>
    <row r="205" ht="12.75" hidden="1">
      <c r="I205" s="205"/>
    </row>
    <row r="206" ht="12.75" hidden="1">
      <c r="I206" s="205"/>
    </row>
    <row r="207" ht="12.75" hidden="1">
      <c r="I207" s="205"/>
    </row>
    <row r="208" ht="12.75" hidden="1">
      <c r="I208" s="205"/>
    </row>
    <row r="209" ht="12.75" hidden="1">
      <c r="I209" s="205"/>
    </row>
    <row r="210" ht="12.75" hidden="1">
      <c r="I210" s="205"/>
    </row>
    <row r="211" ht="12.75" hidden="1">
      <c r="I211" s="205"/>
    </row>
    <row r="212" ht="12.75" hidden="1">
      <c r="I212" s="205"/>
    </row>
    <row r="213" ht="12.75" hidden="1">
      <c r="I213" s="205"/>
    </row>
    <row r="214" ht="12.75" hidden="1">
      <c r="I214" s="205"/>
    </row>
    <row r="215" ht="12.75" hidden="1">
      <c r="I215" s="205"/>
    </row>
    <row r="216" ht="12.75" hidden="1">
      <c r="I216" s="205"/>
    </row>
    <row r="217" ht="12.75" hidden="1">
      <c r="I217" s="205"/>
    </row>
    <row r="218" ht="12.75" hidden="1">
      <c r="I218" s="205"/>
    </row>
    <row r="219" ht="12.75" hidden="1">
      <c r="I219" s="205"/>
    </row>
    <row r="220" ht="12.75" hidden="1">
      <c r="I220" s="205"/>
    </row>
    <row r="221" ht="12.75" hidden="1">
      <c r="I221" s="205"/>
    </row>
    <row r="222" ht="12.75" hidden="1">
      <c r="I222" s="205"/>
    </row>
    <row r="223" ht="12.75" hidden="1">
      <c r="I223" s="205"/>
    </row>
  </sheetData>
  <sheetProtection sheet="1" objects="1" scenarios="1" autoFilter="0"/>
  <autoFilter ref="B10:I65"/>
  <dataValidations count="2">
    <dataValidation type="whole" allowBlank="1" showInputMessage="1" showErrorMessage="1" errorTitle="OJO..." error="Debe registrar un año en número entero y sin puntos, comas o ningún otro separador. Ejm. 1995&#10;&#10;CANOBO - 2006" sqref="C11:C64">
      <formula1>1960</formula1>
      <formula2>2100</formula2>
    </dataValidation>
    <dataValidation type="whole" allowBlank="1" showInputMessage="1" showErrorMessage="1" errorTitle="ERROR...." error="Debe registrar un número entero que corresponde al valor de la pensión sin incluir el monto que se paga por salud sin separadores, puntos, ni comas. Ejm. 650000.&#10;&#10;CANOBO - 2007" sqref="D11:D64">
      <formula1>408000</formula1>
      <formula2>25000000</formula2>
    </dataValidation>
  </dataValidations>
  <printOptions/>
  <pageMargins left="0.3937007874015748" right="0.3937007874015748" top="0.5905511811023623" bottom="0.5905511811023623" header="0.5118110236220472" footer="0.5118110236220472"/>
  <pageSetup blackAndWhite="1" horizontalDpi="240" verticalDpi="240" orientation="landscape" scale="95" r:id="rId2"/>
  <headerFooter alignWithMargins="0">
    <oddFooter>&amp;C&amp;A - Página &amp;P</oddFooter>
  </headerFooter>
  <drawing r:id="rId1"/>
</worksheet>
</file>

<file path=xl/worksheets/sheet7.xml><?xml version="1.0" encoding="utf-8"?>
<worksheet xmlns="http://schemas.openxmlformats.org/spreadsheetml/2006/main" xmlns:r="http://schemas.openxmlformats.org/officeDocument/2006/relationships">
  <sheetPr codeName="Hoja6"/>
  <dimension ref="A1:L947"/>
  <sheetViews>
    <sheetView showGridLines="0" tabSelected="1" zoomScale="90" zoomScaleNormal="90" zoomScalePageLayoutView="0" workbookViewId="0" topLeftCell="A214">
      <selection activeCell="E230" sqref="E230"/>
    </sheetView>
  </sheetViews>
  <sheetFormatPr defaultColWidth="0" defaultRowHeight="12.75" zeroHeight="1"/>
  <cols>
    <col min="1" max="1" width="20.421875" style="17" customWidth="1"/>
    <col min="2" max="2" width="79.7109375" style="471" customWidth="1"/>
    <col min="3" max="3" width="33.421875" style="221" customWidth="1"/>
    <col min="4" max="4" width="2.7109375" style="221" customWidth="1"/>
    <col min="5" max="5" width="32.7109375" style="614" customWidth="1"/>
    <col min="6" max="6" width="23.140625" style="221" customWidth="1"/>
    <col min="7" max="7" width="6.140625" style="221" customWidth="1"/>
    <col min="8" max="8" width="11.00390625" style="221" hidden="1" customWidth="1"/>
    <col min="9" max="12" width="0" style="221" hidden="1" customWidth="1"/>
    <col min="13" max="16384" width="11.00390625" style="221" hidden="1" customWidth="1"/>
  </cols>
  <sheetData>
    <row r="1" spans="1:12" s="57" customFormat="1" ht="20.25" customHeight="1" thickTop="1">
      <c r="A1" s="727" t="s">
        <v>355</v>
      </c>
      <c r="B1" s="728"/>
      <c r="C1" s="254" t="s">
        <v>356</v>
      </c>
      <c r="E1" s="726"/>
      <c r="F1" s="735">
        <f>IF((C143-C8)=0,"",C143-C8)</f>
        <v>-0.188507080078125</v>
      </c>
      <c r="H1" s="220"/>
      <c r="I1" s="220"/>
      <c r="J1" s="220"/>
      <c r="K1" s="220"/>
      <c r="L1" s="220"/>
    </row>
    <row r="2" spans="1:6" s="220" customFormat="1" ht="20.25" customHeight="1" thickBot="1">
      <c r="A2" s="729" t="s">
        <v>16</v>
      </c>
      <c r="B2" s="730"/>
      <c r="C2" s="255">
        <f>+'Información general'!$C$5</f>
        <v>2021</v>
      </c>
      <c r="E2" s="726"/>
      <c r="F2" s="735"/>
    </row>
    <row r="3" spans="1:6" ht="24.75" customHeight="1" thickBot="1">
      <c r="A3" s="731" t="str">
        <f>+CONCATENATE('Información general'!$B$3,"  -  ",'Información general'!$B$4)</f>
        <v>ITAGUI  -  ESE HOSPITAL SAN RAFAEL DE ITAGUI</v>
      </c>
      <c r="B3" s="732"/>
      <c r="C3" s="733"/>
      <c r="E3" s="734"/>
      <c r="F3" s="736" t="str">
        <f>+IF(F1="","",IF(F1&gt;0,"LOS GASTOS SON SUPERIORES A LOS INGRESOS","LOS INGRESOS SON SUPERIORES A LOS GASTOS"))</f>
        <v>LOS INGRESOS SON SUPERIORES A LOS GASTOS</v>
      </c>
    </row>
    <row r="4" spans="1:6" ht="24.75" customHeight="1" thickBot="1">
      <c r="A4" s="284"/>
      <c r="B4" s="442"/>
      <c r="C4" s="285"/>
      <c r="E4" s="734"/>
      <c r="F4" s="736"/>
    </row>
    <row r="5" spans="1:6" ht="24.75" customHeight="1" thickBot="1">
      <c r="A5" s="723" t="s">
        <v>359</v>
      </c>
      <c r="B5" s="724"/>
      <c r="C5" s="725"/>
      <c r="E5" s="734"/>
      <c r="F5" s="736"/>
    </row>
    <row r="6" spans="1:6" s="222" customFormat="1" ht="24.75" customHeight="1" thickBot="1">
      <c r="A6" s="258" t="s">
        <v>17</v>
      </c>
      <c r="B6" s="443" t="s">
        <v>358</v>
      </c>
      <c r="C6" s="259" t="s">
        <v>357</v>
      </c>
      <c r="E6" s="734"/>
      <c r="F6" s="736"/>
    </row>
    <row r="7" spans="1:6" s="222" customFormat="1" ht="7.5" customHeight="1">
      <c r="A7" s="260"/>
      <c r="B7" s="444"/>
      <c r="C7" s="261"/>
      <c r="E7" s="734"/>
      <c r="F7" s="736"/>
    </row>
    <row r="8" spans="1:6" s="222" customFormat="1" ht="23.25">
      <c r="A8" s="262">
        <v>1</v>
      </c>
      <c r="B8" s="445" t="s">
        <v>18</v>
      </c>
      <c r="C8" s="263">
        <f>C10+C17+C116</f>
        <v>49154543228.18851</v>
      </c>
      <c r="E8" s="734"/>
      <c r="F8" s="736"/>
    </row>
    <row r="9" spans="1:6" s="222" customFormat="1" ht="15" customHeight="1" thickBot="1">
      <c r="A9" s="264"/>
      <c r="B9" s="446"/>
      <c r="C9" s="265"/>
      <c r="E9" s="734"/>
      <c r="F9" s="736"/>
    </row>
    <row r="10" spans="1:6" ht="18">
      <c r="A10" s="266">
        <v>10</v>
      </c>
      <c r="B10" s="447" t="s">
        <v>19</v>
      </c>
      <c r="C10" s="267">
        <f>SUM(C12:C15)</f>
        <v>0</v>
      </c>
      <c r="D10" s="225"/>
      <c r="E10" s="734"/>
      <c r="F10" s="736"/>
    </row>
    <row r="11" spans="1:6" ht="12" customHeight="1">
      <c r="A11" s="268"/>
      <c r="B11" s="448"/>
      <c r="C11" s="269"/>
      <c r="D11" s="225"/>
      <c r="E11" s="734"/>
      <c r="F11" s="736"/>
    </row>
    <row r="12" spans="1:6" ht="28.5">
      <c r="A12" s="286">
        <v>1001</v>
      </c>
      <c r="B12" s="449" t="str">
        <f>+CONCATENATE("Caja, Bancos, Inversiones Temporales a Dic. 31 de ",'Información general'!$C$5-1," ( Bienestar Social)")</f>
        <v>Caja, Bancos, Inversiones Temporales a Dic. 31 de 2020 ( Bienestar Social)</v>
      </c>
      <c r="C12" s="332">
        <f>+'Información general'!F19</f>
        <v>0</v>
      </c>
      <c r="D12" s="225"/>
      <c r="E12" s="616"/>
      <c r="F12" s="226"/>
    </row>
    <row r="13" spans="1:5" s="228" customFormat="1" ht="28.5">
      <c r="A13" s="286">
        <v>1002</v>
      </c>
      <c r="B13" s="449" t="str">
        <f>+CONCATENATE("Caja, Bancos, Inversiones Temporales a Dic. 31 de ",'Información general'!$C$5-1," ( Fondo Vivienda )")</f>
        <v>Caja, Bancos, Inversiones Temporales a Dic. 31 de 2020 ( Fondo Vivienda )</v>
      </c>
      <c r="C13" s="332">
        <f>+'Información general'!F21</f>
        <v>0</v>
      </c>
      <c r="D13" s="227"/>
      <c r="E13" s="616"/>
    </row>
    <row r="14" spans="1:4" ht="28.5">
      <c r="A14" s="286">
        <v>1003</v>
      </c>
      <c r="B14" s="449" t="str">
        <f>+CONCATENATE("Caja, Bancos, Inversiones Temporales a Dic. 31 de ",'Información general'!$C$5-1," (Comunes y Especiales)")</f>
        <v>Caja, Bancos, Inversiones Temporales a Dic. 31 de 2020 (Comunes y Especiales)</v>
      </c>
      <c r="C14" s="301">
        <v>0</v>
      </c>
      <c r="D14" s="229"/>
    </row>
    <row r="15" spans="1:12" s="228" customFormat="1" ht="14.25">
      <c r="A15" s="286">
        <v>1004</v>
      </c>
      <c r="B15" s="449" t="str">
        <f>+CONCATENATE("Cesantias Ley 50/90 a Diciembre de ",'Información general'!$C$5-1)</f>
        <v>Cesantias Ley 50/90 a Diciembre de 2020</v>
      </c>
      <c r="C15" s="301">
        <v>0</v>
      </c>
      <c r="D15" s="229"/>
      <c r="E15" s="617"/>
      <c r="G15" s="221"/>
      <c r="H15" s="221"/>
      <c r="I15" s="221"/>
      <c r="J15" s="221"/>
      <c r="K15" s="221"/>
      <c r="L15" s="221"/>
    </row>
    <row r="16" spans="1:12" s="228" customFormat="1" ht="15" customHeight="1" thickBot="1">
      <c r="A16" s="264"/>
      <c r="B16" s="446"/>
      <c r="C16" s="265"/>
      <c r="D16" s="229"/>
      <c r="E16" s="617"/>
      <c r="G16" s="221"/>
      <c r="H16" s="221"/>
      <c r="I16" s="221"/>
      <c r="J16" s="221"/>
      <c r="K16" s="221"/>
      <c r="L16" s="221"/>
    </row>
    <row r="17" spans="1:12" s="228" customFormat="1" ht="18">
      <c r="A17" s="266">
        <v>11</v>
      </c>
      <c r="B17" s="447" t="s">
        <v>20</v>
      </c>
      <c r="C17" s="267">
        <f>+C19+C97+C107</f>
        <v>34554756460</v>
      </c>
      <c r="D17" s="229"/>
      <c r="E17" s="616"/>
      <c r="F17" s="221"/>
      <c r="G17" s="221"/>
      <c r="H17" s="221"/>
      <c r="I17" s="221"/>
      <c r="J17" s="221"/>
      <c r="K17" s="221"/>
      <c r="L17" s="221"/>
    </row>
    <row r="18" spans="1:12" s="228" customFormat="1" ht="12" customHeight="1" hidden="1">
      <c r="A18" s="268"/>
      <c r="B18" s="448"/>
      <c r="C18" s="269"/>
      <c r="D18" s="229"/>
      <c r="E18" s="616"/>
      <c r="F18" s="221"/>
      <c r="G18" s="221"/>
      <c r="H18" s="221"/>
      <c r="I18" s="221"/>
      <c r="J18" s="221"/>
      <c r="K18" s="221"/>
      <c r="L18" s="221"/>
    </row>
    <row r="19" spans="1:12" s="228" customFormat="1" ht="15.75">
      <c r="A19" s="272">
        <v>113</v>
      </c>
      <c r="B19" s="450" t="s">
        <v>21</v>
      </c>
      <c r="C19" s="273">
        <f>C21+C88</f>
        <v>32918865060</v>
      </c>
      <c r="D19" s="229"/>
      <c r="E19" s="616"/>
      <c r="F19" s="221"/>
      <c r="G19" s="221"/>
      <c r="H19" s="221"/>
      <c r="I19" s="221"/>
      <c r="J19" s="221"/>
      <c r="K19" s="221"/>
      <c r="L19" s="221"/>
    </row>
    <row r="20" spans="1:4" ht="9.75" customHeight="1" hidden="1">
      <c r="A20" s="268"/>
      <c r="B20" s="448"/>
      <c r="C20" s="269"/>
      <c r="D20" s="229"/>
    </row>
    <row r="21" spans="1:12" s="228" customFormat="1" ht="15.75">
      <c r="A21" s="272">
        <v>11301</v>
      </c>
      <c r="B21" s="450" t="s">
        <v>22</v>
      </c>
      <c r="C21" s="273">
        <f>C23+C26+C29+C42+C45+C48+C51+C54+C57+C60+C63+C66+C69+C72+C75+C78+C81+C84</f>
        <v>32918865060</v>
      </c>
      <c r="D21" s="229"/>
      <c r="E21" s="614"/>
      <c r="F21" s="221"/>
      <c r="G21" s="221"/>
      <c r="H21" s="221"/>
      <c r="I21" s="221"/>
      <c r="J21" s="221"/>
      <c r="K21" s="221"/>
      <c r="L21" s="221"/>
    </row>
    <row r="22" spans="1:12" s="228" customFormat="1" ht="9.75" customHeight="1" hidden="1">
      <c r="A22" s="268"/>
      <c r="B22" s="448"/>
      <c r="C22" s="269"/>
      <c r="D22" s="229"/>
      <c r="E22" s="614"/>
      <c r="F22" s="221"/>
      <c r="G22" s="221"/>
      <c r="H22" s="221"/>
      <c r="I22" s="221"/>
      <c r="J22" s="221"/>
      <c r="K22" s="221"/>
      <c r="L22" s="221"/>
    </row>
    <row r="23" spans="1:5" s="18" customFormat="1" ht="15.75">
      <c r="A23" s="287">
        <v>1130101</v>
      </c>
      <c r="B23" s="244" t="s">
        <v>101</v>
      </c>
      <c r="C23" s="288">
        <f>SUM(C24:C25)</f>
        <v>8229399194</v>
      </c>
      <c r="D23" s="16"/>
      <c r="E23" s="618"/>
    </row>
    <row r="24" spans="1:5" s="228" customFormat="1" ht="14.25">
      <c r="A24" s="289" t="s">
        <v>99</v>
      </c>
      <c r="B24" s="451" t="str">
        <f>+CONCATENATE("Vigencia ",'Información general'!$C$5)</f>
        <v>Vigencia 2021</v>
      </c>
      <c r="C24" s="301">
        <v>8229399194</v>
      </c>
      <c r="D24" s="229"/>
      <c r="E24" s="617"/>
    </row>
    <row r="25" spans="1:6" s="19" customFormat="1" ht="15.75">
      <c r="A25" s="290" t="s">
        <v>100</v>
      </c>
      <c r="B25" s="452" t="s">
        <v>593</v>
      </c>
      <c r="C25" s="301">
        <v>0</v>
      </c>
      <c r="D25" s="16"/>
      <c r="E25" s="618"/>
      <c r="F25" s="18"/>
    </row>
    <row r="26" spans="1:6" s="232" customFormat="1" ht="15.75">
      <c r="A26" s="287">
        <v>1130102</v>
      </c>
      <c r="B26" s="244" t="s">
        <v>530</v>
      </c>
      <c r="C26" s="288">
        <f>SUM(C27:C28)</f>
        <v>17666281141</v>
      </c>
      <c r="D26" s="230"/>
      <c r="E26" s="619"/>
      <c r="F26" s="231"/>
    </row>
    <row r="27" spans="1:6" ht="14.25">
      <c r="A27" s="289" t="s">
        <v>102</v>
      </c>
      <c r="B27" s="451" t="str">
        <f>+CONCATENATE("Vigencia ",'Información general'!$C$5)</f>
        <v>Vigencia 2021</v>
      </c>
      <c r="C27" s="301">
        <v>17666281141</v>
      </c>
      <c r="D27" s="229"/>
      <c r="E27" s="617"/>
      <c r="F27" s="228"/>
    </row>
    <row r="28" spans="1:6" ht="14.25">
      <c r="A28" s="290" t="s">
        <v>103</v>
      </c>
      <c r="B28" s="452" t="s">
        <v>593</v>
      </c>
      <c r="C28" s="301">
        <v>0</v>
      </c>
      <c r="D28" s="229"/>
      <c r="E28" s="617"/>
      <c r="F28" s="228"/>
    </row>
    <row r="29" spans="1:6" s="232" customFormat="1" ht="30">
      <c r="A29" s="287">
        <v>1130103</v>
      </c>
      <c r="B29" s="244" t="s">
        <v>531</v>
      </c>
      <c r="C29" s="288">
        <f>C30+C33+C36+C39+C40+C41</f>
        <v>1706710379</v>
      </c>
      <c r="D29" s="230"/>
      <c r="E29" s="619"/>
      <c r="F29" s="231"/>
    </row>
    <row r="30" spans="1:6" ht="14.25">
      <c r="A30" s="291" t="s">
        <v>23</v>
      </c>
      <c r="B30" s="449" t="s">
        <v>532</v>
      </c>
      <c r="C30" s="277">
        <f>SUM(C31:C32)</f>
        <v>0</v>
      </c>
      <c r="D30" s="229"/>
      <c r="E30" s="617"/>
      <c r="F30" s="228"/>
    </row>
    <row r="31" spans="1:6" ht="12.75">
      <c r="A31" s="372" t="s">
        <v>104</v>
      </c>
      <c r="B31" s="453" t="str">
        <f>+CONCATENATE("Vigencia ",'Información general'!$C$5)</f>
        <v>Vigencia 2021</v>
      </c>
      <c r="C31" s="389">
        <v>0</v>
      </c>
      <c r="D31" s="229"/>
      <c r="E31" s="617"/>
      <c r="F31" s="228"/>
    </row>
    <row r="32" spans="1:6" s="235" customFormat="1" ht="15">
      <c r="A32" s="372" t="s">
        <v>105</v>
      </c>
      <c r="B32" s="453" t="s">
        <v>593</v>
      </c>
      <c r="C32" s="389">
        <v>0</v>
      </c>
      <c r="D32" s="233"/>
      <c r="E32" s="620"/>
      <c r="F32" s="234"/>
    </row>
    <row r="33" spans="1:6" ht="14.25">
      <c r="A33" s="374" t="s">
        <v>24</v>
      </c>
      <c r="B33" s="454" t="s">
        <v>533</v>
      </c>
      <c r="C33" s="332">
        <f>SUM(C34:C35)</f>
        <v>1706710379</v>
      </c>
      <c r="D33" s="229"/>
      <c r="E33" s="617"/>
      <c r="F33" s="228"/>
    </row>
    <row r="34" spans="1:6" s="237" customFormat="1" ht="12.75">
      <c r="A34" s="372" t="s">
        <v>106</v>
      </c>
      <c r="B34" s="453" t="str">
        <f>+CONCATENATE("Vigencia ",'Información general'!$C$5)</f>
        <v>Vigencia 2021</v>
      </c>
      <c r="C34" s="389">
        <v>1706710379</v>
      </c>
      <c r="D34" s="229"/>
      <c r="E34" s="621"/>
      <c r="F34" s="236"/>
    </row>
    <row r="35" spans="1:6" s="237" customFormat="1" ht="12.75">
      <c r="A35" s="372" t="s">
        <v>107</v>
      </c>
      <c r="B35" s="453" t="s">
        <v>593</v>
      </c>
      <c r="C35" s="389">
        <v>0</v>
      </c>
      <c r="D35" s="229"/>
      <c r="E35" s="621"/>
      <c r="F35" s="236"/>
    </row>
    <row r="36" spans="1:6" ht="14.25">
      <c r="A36" s="374" t="s">
        <v>25</v>
      </c>
      <c r="B36" s="454" t="s">
        <v>534</v>
      </c>
      <c r="C36" s="332">
        <f>SUM(C37:C38)</f>
        <v>0</v>
      </c>
      <c r="D36" s="229"/>
      <c r="E36" s="617"/>
      <c r="F36" s="228"/>
    </row>
    <row r="37" spans="1:6" s="237" customFormat="1" ht="12.75">
      <c r="A37" s="372" t="s">
        <v>108</v>
      </c>
      <c r="B37" s="453" t="str">
        <f>+CONCATENATE("Vigencia ",'Información general'!$C$5)</f>
        <v>Vigencia 2021</v>
      </c>
      <c r="C37" s="389">
        <v>0</v>
      </c>
      <c r="D37" s="229"/>
      <c r="E37" s="621"/>
      <c r="F37" s="236"/>
    </row>
    <row r="38" spans="1:6" s="237" customFormat="1" ht="12.75">
      <c r="A38" s="372" t="s">
        <v>109</v>
      </c>
      <c r="B38" s="453" t="s">
        <v>593</v>
      </c>
      <c r="C38" s="389">
        <v>0</v>
      </c>
      <c r="D38" s="229"/>
      <c r="E38" s="621"/>
      <c r="F38" s="236"/>
    </row>
    <row r="39" spans="1:6" s="237" customFormat="1" ht="14.25">
      <c r="A39" s="291" t="s">
        <v>572</v>
      </c>
      <c r="B39" s="449" t="s">
        <v>573</v>
      </c>
      <c r="C39" s="332">
        <f>+IF('Información general'!$F$5=1,'Información general'!$B$78,0)</f>
        <v>0</v>
      </c>
      <c r="D39" s="229"/>
      <c r="E39" s="621"/>
      <c r="F39" s="236"/>
    </row>
    <row r="40" spans="1:6" s="237" customFormat="1" ht="14.25">
      <c r="A40" s="291" t="s">
        <v>574</v>
      </c>
      <c r="B40" s="449" t="s">
        <v>575</v>
      </c>
      <c r="C40" s="332">
        <f>+IF('Información general'!$F$5=2,'Información general'!$B$78,0)</f>
        <v>0</v>
      </c>
      <c r="D40" s="229"/>
      <c r="E40" s="621"/>
      <c r="F40" s="236"/>
    </row>
    <row r="41" spans="1:6" s="237" customFormat="1" ht="14.25">
      <c r="A41" s="291" t="s">
        <v>576</v>
      </c>
      <c r="B41" s="449" t="s">
        <v>577</v>
      </c>
      <c r="C41" s="332">
        <f>+IF('Información general'!$F$5=3,'Información general'!$B$78,0)</f>
        <v>0</v>
      </c>
      <c r="D41" s="229"/>
      <c r="E41" s="621"/>
      <c r="F41" s="236"/>
    </row>
    <row r="42" spans="1:6" s="237" customFormat="1" ht="15">
      <c r="A42" s="287">
        <v>1130104</v>
      </c>
      <c r="B42" s="244" t="s">
        <v>140</v>
      </c>
      <c r="C42" s="288">
        <f>+SUM(C43:C44)</f>
        <v>0</v>
      </c>
      <c r="D42" s="229"/>
      <c r="E42" s="621"/>
      <c r="F42" s="236"/>
    </row>
    <row r="43" spans="1:6" s="237" customFormat="1" ht="14.25">
      <c r="A43" s="289" t="s">
        <v>382</v>
      </c>
      <c r="B43" s="451" t="str">
        <f>+CONCATENATE("Vigencia ",'Información general'!$C$5)</f>
        <v>Vigencia 2021</v>
      </c>
      <c r="C43" s="301">
        <v>0</v>
      </c>
      <c r="D43" s="229"/>
      <c r="E43" s="621"/>
      <c r="F43" s="236"/>
    </row>
    <row r="44" spans="1:6" s="232" customFormat="1" ht="15.75">
      <c r="A44" s="290" t="s">
        <v>383</v>
      </c>
      <c r="B44" s="452" t="s">
        <v>593</v>
      </c>
      <c r="C44" s="301">
        <v>0</v>
      </c>
      <c r="D44" s="230"/>
      <c r="E44" s="619"/>
      <c r="F44" s="231"/>
    </row>
    <row r="45" spans="1:6" s="237" customFormat="1" ht="15">
      <c r="A45" s="287">
        <v>1130106</v>
      </c>
      <c r="B45" s="244" t="s">
        <v>141</v>
      </c>
      <c r="C45" s="288">
        <f>SUM(C46:C47)</f>
        <v>0</v>
      </c>
      <c r="D45" s="229"/>
      <c r="E45" s="621"/>
      <c r="F45" s="236"/>
    </row>
    <row r="46" spans="1:6" s="237" customFormat="1" ht="14.25">
      <c r="A46" s="289" t="s">
        <v>110</v>
      </c>
      <c r="B46" s="451" t="str">
        <f>+CONCATENATE("Vigencia ",'Información general'!$C$5)</f>
        <v>Vigencia 2021</v>
      </c>
      <c r="C46" s="301">
        <v>0</v>
      </c>
      <c r="D46" s="229"/>
      <c r="E46" s="621"/>
      <c r="F46" s="236"/>
    </row>
    <row r="47" spans="1:6" s="232" customFormat="1" ht="15.75">
      <c r="A47" s="290" t="s">
        <v>111</v>
      </c>
      <c r="B47" s="452" t="s">
        <v>593</v>
      </c>
      <c r="C47" s="301">
        <v>0</v>
      </c>
      <c r="D47" s="230"/>
      <c r="E47" s="619"/>
      <c r="F47" s="231"/>
    </row>
    <row r="48" spans="1:6" s="232" customFormat="1" ht="15.75">
      <c r="A48" s="287">
        <v>1130107</v>
      </c>
      <c r="B48" s="244" t="s">
        <v>132</v>
      </c>
      <c r="C48" s="288">
        <f>SUM(C49:C50)</f>
        <v>340444416</v>
      </c>
      <c r="D48" s="230"/>
      <c r="E48" s="619"/>
      <c r="F48" s="231"/>
    </row>
    <row r="49" spans="1:6" s="237" customFormat="1" ht="14.25">
      <c r="A49" s="289" t="s">
        <v>112</v>
      </c>
      <c r="B49" s="451" t="str">
        <f>+CONCATENATE("Vigencia ",'Información general'!$C$5)</f>
        <v>Vigencia 2021</v>
      </c>
      <c r="C49" s="301">
        <v>340444416</v>
      </c>
      <c r="D49" s="229"/>
      <c r="E49" s="621"/>
      <c r="F49" s="236"/>
    </row>
    <row r="50" spans="1:6" s="237" customFormat="1" ht="14.25">
      <c r="A50" s="290" t="s">
        <v>113</v>
      </c>
      <c r="B50" s="452" t="s">
        <v>593</v>
      </c>
      <c r="C50" s="301">
        <v>0</v>
      </c>
      <c r="D50" s="229"/>
      <c r="E50" s="621"/>
      <c r="F50" s="236"/>
    </row>
    <row r="51" spans="1:6" s="232" customFormat="1" ht="15.75">
      <c r="A51" s="287">
        <v>1130108</v>
      </c>
      <c r="B51" s="244" t="s">
        <v>133</v>
      </c>
      <c r="C51" s="288">
        <f>SUM(C52:C53)</f>
        <v>0</v>
      </c>
      <c r="D51" s="230"/>
      <c r="E51" s="619"/>
      <c r="F51" s="231"/>
    </row>
    <row r="52" spans="1:6" s="237" customFormat="1" ht="14.25">
      <c r="A52" s="289">
        <v>1130108</v>
      </c>
      <c r="B52" s="451" t="str">
        <f>+CONCATENATE("Vigencia ",'Información general'!$C$5)</f>
        <v>Vigencia 2021</v>
      </c>
      <c r="C52" s="301">
        <v>0</v>
      </c>
      <c r="D52" s="229"/>
      <c r="E52" s="621"/>
      <c r="F52" s="236"/>
    </row>
    <row r="53" spans="1:6" s="237" customFormat="1" ht="14.25">
      <c r="A53" s="290">
        <v>1130108</v>
      </c>
      <c r="B53" s="452" t="s">
        <v>593</v>
      </c>
      <c r="C53" s="301">
        <v>0</v>
      </c>
      <c r="D53" s="229"/>
      <c r="E53" s="621"/>
      <c r="F53" s="236"/>
    </row>
    <row r="54" spans="1:6" s="232" customFormat="1" ht="15.75">
      <c r="A54" s="287">
        <v>1130109</v>
      </c>
      <c r="B54" s="244" t="s">
        <v>134</v>
      </c>
      <c r="C54" s="288">
        <f>SUM(C55:C56)</f>
        <v>0</v>
      </c>
      <c r="D54" s="230"/>
      <c r="E54" s="619"/>
      <c r="F54" s="231"/>
    </row>
    <row r="55" spans="1:6" s="237" customFormat="1" ht="14.25">
      <c r="A55" s="289" t="s">
        <v>114</v>
      </c>
      <c r="B55" s="451" t="str">
        <f>+CONCATENATE("Vigencia ",'Información general'!$C$5)</f>
        <v>Vigencia 2021</v>
      </c>
      <c r="C55" s="301">
        <v>0</v>
      </c>
      <c r="D55" s="229"/>
      <c r="E55" s="621"/>
      <c r="F55" s="236"/>
    </row>
    <row r="56" spans="1:6" s="237" customFormat="1" ht="14.25">
      <c r="A56" s="290" t="s">
        <v>115</v>
      </c>
      <c r="B56" s="452" t="s">
        <v>593</v>
      </c>
      <c r="C56" s="301">
        <v>0</v>
      </c>
      <c r="D56" s="229"/>
      <c r="E56" s="621"/>
      <c r="F56" s="236"/>
    </row>
    <row r="57" spans="1:6" s="232" customFormat="1" ht="15.75">
      <c r="A57" s="287">
        <v>1130110</v>
      </c>
      <c r="B57" s="244" t="s">
        <v>135</v>
      </c>
      <c r="C57" s="288">
        <f>SUM(C58:C59)</f>
        <v>0</v>
      </c>
      <c r="D57" s="230"/>
      <c r="E57" s="619"/>
      <c r="F57" s="231"/>
    </row>
    <row r="58" spans="1:6" s="237" customFormat="1" ht="14.25">
      <c r="A58" s="289" t="s">
        <v>126</v>
      </c>
      <c r="B58" s="451" t="str">
        <f>+CONCATENATE("Vigencia ",'Información general'!$C$5)</f>
        <v>Vigencia 2021</v>
      </c>
      <c r="C58" s="301">
        <v>0</v>
      </c>
      <c r="D58" s="229"/>
      <c r="E58" s="621"/>
      <c r="F58" s="236"/>
    </row>
    <row r="59" spans="1:6" s="237" customFormat="1" ht="14.25">
      <c r="A59" s="290" t="s">
        <v>127</v>
      </c>
      <c r="B59" s="452" t="s">
        <v>593</v>
      </c>
      <c r="C59" s="301">
        <v>0</v>
      </c>
      <c r="D59" s="229"/>
      <c r="E59" s="621"/>
      <c r="F59" s="236"/>
    </row>
    <row r="60" spans="1:6" s="232" customFormat="1" ht="15.75">
      <c r="A60" s="287">
        <v>1130111</v>
      </c>
      <c r="B60" s="244" t="s">
        <v>136</v>
      </c>
      <c r="C60" s="288">
        <f>SUM(C61:C62)</f>
        <v>89878400</v>
      </c>
      <c r="D60" s="230"/>
      <c r="E60" s="619"/>
      <c r="F60" s="231"/>
    </row>
    <row r="61" spans="1:6" s="237" customFormat="1" ht="14.25">
      <c r="A61" s="289" t="s">
        <v>116</v>
      </c>
      <c r="B61" s="451" t="str">
        <f>+CONCATENATE("Vigencia ",'Información general'!$C$5)</f>
        <v>Vigencia 2021</v>
      </c>
      <c r="C61" s="301">
        <v>89878400</v>
      </c>
      <c r="D61" s="229"/>
      <c r="E61" s="621"/>
      <c r="F61" s="236"/>
    </row>
    <row r="62" spans="1:6" s="237" customFormat="1" ht="14.25">
      <c r="A62" s="290" t="s">
        <v>117</v>
      </c>
      <c r="B62" s="452" t="s">
        <v>593</v>
      </c>
      <c r="C62" s="301">
        <v>0</v>
      </c>
      <c r="D62" s="229"/>
      <c r="E62" s="621"/>
      <c r="F62" s="236"/>
    </row>
    <row r="63" spans="1:6" ht="15">
      <c r="A63" s="287">
        <v>1130112</v>
      </c>
      <c r="B63" s="244" t="s">
        <v>137</v>
      </c>
      <c r="C63" s="288">
        <f>SUM(C64:C65)</f>
        <v>139485600</v>
      </c>
      <c r="D63" s="229"/>
      <c r="E63" s="617"/>
      <c r="F63" s="228"/>
    </row>
    <row r="64" spans="1:6" s="237" customFormat="1" ht="14.25">
      <c r="A64" s="289" t="s">
        <v>118</v>
      </c>
      <c r="B64" s="451" t="str">
        <f>+CONCATENATE("Vigencia ",'Información general'!$C$5)</f>
        <v>Vigencia 2021</v>
      </c>
      <c r="C64" s="301">
        <v>139485600</v>
      </c>
      <c r="D64" s="229"/>
      <c r="E64" s="621"/>
      <c r="F64" s="236"/>
    </row>
    <row r="65" spans="1:6" s="237" customFormat="1" ht="14.25">
      <c r="A65" s="290" t="s">
        <v>119</v>
      </c>
      <c r="B65" s="452" t="s">
        <v>593</v>
      </c>
      <c r="C65" s="301">
        <v>0</v>
      </c>
      <c r="D65" s="229"/>
      <c r="E65" s="621"/>
      <c r="F65" s="236"/>
    </row>
    <row r="66" spans="1:6" ht="15">
      <c r="A66" s="287">
        <v>1130113</v>
      </c>
      <c r="B66" s="244" t="s">
        <v>138</v>
      </c>
      <c r="C66" s="288">
        <f>SUM(C67:C68)</f>
        <v>1508485110</v>
      </c>
      <c r="D66" s="229"/>
      <c r="E66" s="617"/>
      <c r="F66" s="228"/>
    </row>
    <row r="67" spans="1:6" s="237" customFormat="1" ht="14.25">
      <c r="A67" s="289" t="s">
        <v>120</v>
      </c>
      <c r="B67" s="451" t="str">
        <f>+CONCATENATE("Vigencia ",'Información general'!$C$5)</f>
        <v>Vigencia 2021</v>
      </c>
      <c r="C67" s="301">
        <v>1508485110</v>
      </c>
      <c r="D67" s="229"/>
      <c r="E67" s="621"/>
      <c r="F67" s="236"/>
    </row>
    <row r="68" spans="1:6" s="237" customFormat="1" ht="14.25">
      <c r="A68" s="290" t="s">
        <v>121</v>
      </c>
      <c r="B68" s="452" t="s">
        <v>593</v>
      </c>
      <c r="C68" s="301">
        <v>0</v>
      </c>
      <c r="D68" s="229"/>
      <c r="E68" s="621"/>
      <c r="F68" s="236"/>
    </row>
    <row r="69" spans="1:6" s="232" customFormat="1" ht="15.75">
      <c r="A69" s="287">
        <v>1130114</v>
      </c>
      <c r="B69" s="244" t="s">
        <v>139</v>
      </c>
      <c r="C69" s="288">
        <f>SUM(C70:C71)</f>
        <v>245115800</v>
      </c>
      <c r="D69" s="230"/>
      <c r="E69" s="619"/>
      <c r="F69" s="231"/>
    </row>
    <row r="70" spans="1:6" ht="14.25">
      <c r="A70" s="289" t="s">
        <v>128</v>
      </c>
      <c r="B70" s="451" t="str">
        <f>+CONCATENATE("Vigencia ",'Información general'!$C$5)</f>
        <v>Vigencia 2021</v>
      </c>
      <c r="C70" s="301">
        <v>245115800</v>
      </c>
      <c r="D70" s="229"/>
      <c r="E70" s="617"/>
      <c r="F70" s="228"/>
    </row>
    <row r="71" spans="1:6" ht="14.25">
      <c r="A71" s="290" t="s">
        <v>129</v>
      </c>
      <c r="B71" s="452" t="s">
        <v>593</v>
      </c>
      <c r="C71" s="301">
        <v>0</v>
      </c>
      <c r="D71" s="229"/>
      <c r="E71" s="617"/>
      <c r="F71" s="228"/>
    </row>
    <row r="72" spans="1:6" s="232" customFormat="1" ht="15.75">
      <c r="A72" s="287">
        <v>1130115</v>
      </c>
      <c r="B72" s="244" t="s">
        <v>142</v>
      </c>
      <c r="C72" s="288">
        <f>SUM(C73:C74)</f>
        <v>1852135000</v>
      </c>
      <c r="D72" s="230"/>
      <c r="E72" s="619"/>
      <c r="F72" s="231"/>
    </row>
    <row r="73" spans="1:6" s="237" customFormat="1" ht="14.25">
      <c r="A73" s="289" t="s">
        <v>122</v>
      </c>
      <c r="B73" s="451" t="str">
        <f>+CONCATENATE("Vigencia ",'Información general'!$C$5)</f>
        <v>Vigencia 2021</v>
      </c>
      <c r="C73" s="301">
        <v>1852135000</v>
      </c>
      <c r="D73" s="229"/>
      <c r="E73" s="621"/>
      <c r="F73" s="236"/>
    </row>
    <row r="74" spans="1:6" s="237" customFormat="1" ht="14.25">
      <c r="A74" s="290" t="s">
        <v>123</v>
      </c>
      <c r="B74" s="452" t="s">
        <v>593</v>
      </c>
      <c r="C74" s="301">
        <v>0</v>
      </c>
      <c r="D74" s="229"/>
      <c r="E74" s="621"/>
      <c r="F74" s="236"/>
    </row>
    <row r="75" spans="1:6" s="232" customFormat="1" ht="15.75">
      <c r="A75" s="287">
        <v>1130116</v>
      </c>
      <c r="B75" s="244" t="s">
        <v>604</v>
      </c>
      <c r="C75" s="288">
        <f>SUM(C76:C77)</f>
        <v>390679020</v>
      </c>
      <c r="D75" s="230"/>
      <c r="E75" s="619"/>
      <c r="F75" s="231"/>
    </row>
    <row r="76" spans="1:6" ht="14.25">
      <c r="A76" s="289" t="s">
        <v>124</v>
      </c>
      <c r="B76" s="451" t="str">
        <f>+CONCATENATE("Vigencia ",'Información general'!$C$5)</f>
        <v>Vigencia 2021</v>
      </c>
      <c r="C76" s="301">
        <v>390679020</v>
      </c>
      <c r="D76" s="229"/>
      <c r="E76" s="617"/>
      <c r="F76" s="228"/>
    </row>
    <row r="77" spans="1:6" ht="14.25">
      <c r="A77" s="290" t="s">
        <v>125</v>
      </c>
      <c r="B77" s="452" t="s">
        <v>593</v>
      </c>
      <c r="C77" s="301">
        <v>0</v>
      </c>
      <c r="D77" s="229"/>
      <c r="E77" s="617"/>
      <c r="F77" s="228"/>
    </row>
    <row r="78" spans="1:6" s="232" customFormat="1" ht="30">
      <c r="A78" s="287">
        <v>1130117</v>
      </c>
      <c r="B78" s="244" t="s">
        <v>371</v>
      </c>
      <c r="C78" s="288">
        <f>SUM(C79:C80)</f>
        <v>0</v>
      </c>
      <c r="D78" s="230"/>
      <c r="E78" s="619"/>
      <c r="F78" s="231"/>
    </row>
    <row r="79" spans="1:6" ht="14.25">
      <c r="A79" s="289" t="s">
        <v>130</v>
      </c>
      <c r="B79" s="451" t="str">
        <f>+CONCATENATE("Vigencia ",'Información general'!$C$5)</f>
        <v>Vigencia 2021</v>
      </c>
      <c r="C79" s="301">
        <v>0</v>
      </c>
      <c r="D79" s="229"/>
      <c r="E79" s="617"/>
      <c r="F79" s="228"/>
    </row>
    <row r="80" spans="1:6" ht="14.25">
      <c r="A80" s="290" t="s">
        <v>131</v>
      </c>
      <c r="B80" s="452" t="s">
        <v>593</v>
      </c>
      <c r="C80" s="301">
        <v>0</v>
      </c>
      <c r="D80" s="229"/>
      <c r="E80" s="617"/>
      <c r="F80" s="228"/>
    </row>
    <row r="81" spans="1:6" s="235" customFormat="1" ht="15">
      <c r="A81" s="287">
        <v>1130118</v>
      </c>
      <c r="B81" s="244" t="s">
        <v>143</v>
      </c>
      <c r="C81" s="288">
        <f>SUM(C82:C83)</f>
        <v>750251000</v>
      </c>
      <c r="D81" s="233"/>
      <c r="E81" s="620"/>
      <c r="F81" s="234"/>
    </row>
    <row r="82" spans="1:6" ht="14.25">
      <c r="A82" s="289" t="s">
        <v>164</v>
      </c>
      <c r="B82" s="451" t="str">
        <f>+CONCATENATE("Vigencia ",'Información general'!$C$5)</f>
        <v>Vigencia 2021</v>
      </c>
      <c r="C82" s="301">
        <v>750251000</v>
      </c>
      <c r="D82" s="229"/>
      <c r="E82" s="617"/>
      <c r="F82" s="228"/>
    </row>
    <row r="83" spans="1:6" ht="14.25">
      <c r="A83" s="290" t="s">
        <v>165</v>
      </c>
      <c r="B83" s="452" t="s">
        <v>593</v>
      </c>
      <c r="C83" s="301">
        <v>0</v>
      </c>
      <c r="D83" s="229"/>
      <c r="E83" s="617"/>
      <c r="F83" s="228"/>
    </row>
    <row r="84" spans="1:6" s="232" customFormat="1" ht="15.75">
      <c r="A84" s="287">
        <v>1130119</v>
      </c>
      <c r="B84" s="244" t="s">
        <v>546</v>
      </c>
      <c r="C84" s="288">
        <f>SUM(C85:C86)</f>
        <v>0</v>
      </c>
      <c r="D84" s="230"/>
      <c r="E84" s="619"/>
      <c r="F84" s="231"/>
    </row>
    <row r="85" spans="1:6" s="232" customFormat="1" ht="15.75">
      <c r="A85" s="289" t="s">
        <v>547</v>
      </c>
      <c r="B85" s="451" t="str">
        <f>+CONCATENATE("Vigencia ",'Información general'!$C$5)</f>
        <v>Vigencia 2021</v>
      </c>
      <c r="C85" s="301">
        <v>0</v>
      </c>
      <c r="D85" s="230"/>
      <c r="E85" s="619"/>
      <c r="F85" s="231"/>
    </row>
    <row r="86" spans="1:6" s="232" customFormat="1" ht="15.75">
      <c r="A86" s="290" t="s">
        <v>548</v>
      </c>
      <c r="B86" s="452" t="s">
        <v>593</v>
      </c>
      <c r="C86" s="301">
        <v>0</v>
      </c>
      <c r="D86" s="230"/>
      <c r="E86" s="619"/>
      <c r="F86" s="231"/>
    </row>
    <row r="87" spans="1:4" ht="18.75" customHeight="1">
      <c r="A87" s="268"/>
      <c r="B87" s="448"/>
      <c r="C87" s="269"/>
      <c r="D87" s="229"/>
    </row>
    <row r="88" spans="1:12" s="228" customFormat="1" ht="15.75">
      <c r="A88" s="272">
        <v>11302</v>
      </c>
      <c r="B88" s="450" t="s">
        <v>589</v>
      </c>
      <c r="C88" s="273">
        <f>SUM(C89:C95)</f>
        <v>0</v>
      </c>
      <c r="D88" s="229"/>
      <c r="E88" s="614"/>
      <c r="F88" s="221"/>
      <c r="G88" s="221"/>
      <c r="H88" s="221"/>
      <c r="I88" s="221"/>
      <c r="J88" s="221"/>
      <c r="K88" s="221"/>
      <c r="L88" s="221"/>
    </row>
    <row r="89" spans="1:6" s="232" customFormat="1" ht="15.75">
      <c r="A89" s="287">
        <v>1130201</v>
      </c>
      <c r="B89" s="244"/>
      <c r="C89" s="302">
        <v>0</v>
      </c>
      <c r="D89" s="230"/>
      <c r="E89" s="619"/>
      <c r="F89" s="231"/>
    </row>
    <row r="90" spans="1:6" s="238" customFormat="1" ht="15">
      <c r="A90" s="287">
        <v>1130202</v>
      </c>
      <c r="B90" s="343"/>
      <c r="C90" s="302">
        <v>0</v>
      </c>
      <c r="D90" s="229"/>
      <c r="E90" s="617"/>
      <c r="F90" s="228"/>
    </row>
    <row r="91" spans="1:5" s="19" customFormat="1" ht="15.75">
      <c r="A91" s="287">
        <v>1130203</v>
      </c>
      <c r="B91" s="244" t="s">
        <v>535</v>
      </c>
      <c r="C91" s="302">
        <v>0</v>
      </c>
      <c r="D91" s="16"/>
      <c r="E91" s="622"/>
    </row>
    <row r="92" spans="1:6" s="232" customFormat="1" ht="30">
      <c r="A92" s="287">
        <v>1130204</v>
      </c>
      <c r="B92" s="244" t="s">
        <v>587</v>
      </c>
      <c r="C92" s="302">
        <v>0</v>
      </c>
      <c r="D92" s="230"/>
      <c r="E92" s="619"/>
      <c r="F92" s="231"/>
    </row>
    <row r="93" spans="1:6" s="232" customFormat="1" ht="15.75">
      <c r="A93" s="287">
        <v>1130205</v>
      </c>
      <c r="B93" s="244" t="s">
        <v>588</v>
      </c>
      <c r="C93" s="302">
        <v>0</v>
      </c>
      <c r="D93" s="230"/>
      <c r="E93" s="619"/>
      <c r="F93" s="231"/>
    </row>
    <row r="94" spans="1:6" s="232" customFormat="1" ht="15.75">
      <c r="A94" s="287">
        <v>1130206</v>
      </c>
      <c r="B94" s="244" t="s">
        <v>536</v>
      </c>
      <c r="C94" s="302">
        <v>0</v>
      </c>
      <c r="D94" s="230"/>
      <c r="E94" s="619"/>
      <c r="F94" s="231"/>
    </row>
    <row r="95" spans="1:6" s="232" customFormat="1" ht="15.75">
      <c r="A95" s="290">
        <v>1130207</v>
      </c>
      <c r="B95" s="452" t="s">
        <v>593</v>
      </c>
      <c r="C95" s="302">
        <v>0</v>
      </c>
      <c r="D95" s="230"/>
      <c r="E95" s="619"/>
      <c r="F95" s="231"/>
    </row>
    <row r="96" spans="1:6" s="232" customFormat="1" ht="15.75">
      <c r="A96" s="290"/>
      <c r="B96" s="452"/>
      <c r="C96" s="269"/>
      <c r="D96" s="230"/>
      <c r="E96" s="619"/>
      <c r="F96" s="231"/>
    </row>
    <row r="97" spans="1:6" s="232" customFormat="1" ht="15.75">
      <c r="A97" s="272">
        <v>11303</v>
      </c>
      <c r="B97" s="450" t="s">
        <v>578</v>
      </c>
      <c r="C97" s="273">
        <f>SUM(C99:C105)</f>
        <v>0</v>
      </c>
      <c r="D97" s="230"/>
      <c r="E97" s="619"/>
      <c r="F97" s="231"/>
    </row>
    <row r="98" spans="1:6" s="232" customFormat="1" ht="15.75">
      <c r="A98" s="287" t="s">
        <v>443</v>
      </c>
      <c r="B98" s="244" t="s">
        <v>362</v>
      </c>
      <c r="C98" s="302">
        <v>0</v>
      </c>
      <c r="D98" s="230"/>
      <c r="E98" s="619"/>
      <c r="F98" s="231"/>
    </row>
    <row r="99" spans="1:6" s="232" customFormat="1" ht="15.75">
      <c r="A99" s="287" t="s">
        <v>444</v>
      </c>
      <c r="B99" s="244" t="s">
        <v>363</v>
      </c>
      <c r="C99" s="302">
        <v>0</v>
      </c>
      <c r="D99" s="230"/>
      <c r="E99" s="619"/>
      <c r="F99" s="231"/>
    </row>
    <row r="100" spans="1:6" s="232" customFormat="1" ht="15.75">
      <c r="A100" s="287" t="s">
        <v>445</v>
      </c>
      <c r="B100" s="244" t="s">
        <v>94</v>
      </c>
      <c r="C100" s="302">
        <v>0</v>
      </c>
      <c r="D100" s="230"/>
      <c r="E100" s="619"/>
      <c r="F100" s="231"/>
    </row>
    <row r="101" spans="1:6" s="232" customFormat="1" ht="15.75">
      <c r="A101" s="287" t="s">
        <v>446</v>
      </c>
      <c r="B101" s="244" t="s">
        <v>364</v>
      </c>
      <c r="C101" s="440">
        <v>0</v>
      </c>
      <c r="D101" s="230"/>
      <c r="E101" s="619"/>
      <c r="F101" s="231"/>
    </row>
    <row r="102" spans="1:6" s="232" customFormat="1" ht="15.75">
      <c r="A102" s="287" t="s">
        <v>537</v>
      </c>
      <c r="B102" s="244" t="s">
        <v>567</v>
      </c>
      <c r="C102" s="440">
        <v>0</v>
      </c>
      <c r="D102" s="230"/>
      <c r="E102" s="619"/>
      <c r="F102" s="231"/>
    </row>
    <row r="103" spans="1:6" s="232" customFormat="1" ht="15.75">
      <c r="A103" s="287" t="s">
        <v>566</v>
      </c>
      <c r="B103" s="244" t="s">
        <v>590</v>
      </c>
      <c r="C103" s="302">
        <v>0</v>
      </c>
      <c r="D103" s="230"/>
      <c r="E103" s="619"/>
      <c r="F103" s="231"/>
    </row>
    <row r="104" spans="1:6" s="232" customFormat="1" ht="15.75">
      <c r="A104" s="287" t="s">
        <v>591</v>
      </c>
      <c r="B104" s="244"/>
      <c r="C104" s="302">
        <v>0</v>
      </c>
      <c r="D104" s="230"/>
      <c r="E104" s="619"/>
      <c r="F104" s="231"/>
    </row>
    <row r="105" spans="1:6" s="232" customFormat="1" ht="15.75">
      <c r="A105" s="290" t="s">
        <v>592</v>
      </c>
      <c r="B105" s="455" t="s">
        <v>593</v>
      </c>
      <c r="C105" s="302">
        <v>0</v>
      </c>
      <c r="D105" s="230"/>
      <c r="E105" s="619"/>
      <c r="F105" s="231"/>
    </row>
    <row r="106" spans="1:6" s="232" customFormat="1" ht="15.75">
      <c r="A106" s="290"/>
      <c r="B106" s="452"/>
      <c r="C106" s="269"/>
      <c r="D106" s="230"/>
      <c r="E106" s="619"/>
      <c r="F106" s="231"/>
    </row>
    <row r="107" spans="1:6" s="232" customFormat="1" ht="15.75">
      <c r="A107" s="272">
        <v>11304</v>
      </c>
      <c r="B107" s="450" t="s">
        <v>579</v>
      </c>
      <c r="C107" s="273">
        <f>SUM(C108:C114)</f>
        <v>1635891400</v>
      </c>
      <c r="D107" s="230"/>
      <c r="E107" s="619"/>
      <c r="F107" s="231"/>
    </row>
    <row r="108" spans="1:6" s="232" customFormat="1" ht="15.75">
      <c r="A108" s="287" t="s">
        <v>580</v>
      </c>
      <c r="B108" s="244" t="s">
        <v>408</v>
      </c>
      <c r="C108" s="302">
        <v>860825680</v>
      </c>
      <c r="D108" s="230"/>
      <c r="E108" s="619"/>
      <c r="F108" s="231"/>
    </row>
    <row r="109" spans="1:6" s="232" customFormat="1" ht="15.75">
      <c r="A109" s="287" t="s">
        <v>581</v>
      </c>
      <c r="B109" s="343" t="s">
        <v>144</v>
      </c>
      <c r="C109" s="302">
        <v>0</v>
      </c>
      <c r="D109" s="230"/>
      <c r="E109" s="619"/>
      <c r="F109" s="231"/>
    </row>
    <row r="110" spans="1:6" s="232" customFormat="1" ht="15.75">
      <c r="A110" s="287" t="s">
        <v>582</v>
      </c>
      <c r="B110" s="244" t="s">
        <v>60</v>
      </c>
      <c r="C110" s="302">
        <v>0</v>
      </c>
      <c r="D110" s="230"/>
      <c r="E110" s="619"/>
      <c r="F110" s="231"/>
    </row>
    <row r="111" spans="1:6" s="232" customFormat="1" ht="15.75">
      <c r="A111" s="287" t="s">
        <v>583</v>
      </c>
      <c r="B111" s="244" t="s">
        <v>90</v>
      </c>
      <c r="C111" s="302">
        <v>0</v>
      </c>
      <c r="D111" s="230"/>
      <c r="E111" s="619"/>
      <c r="F111" s="231"/>
    </row>
    <row r="112" spans="1:6" s="232" customFormat="1" ht="15.75">
      <c r="A112" s="287" t="s">
        <v>584</v>
      </c>
      <c r="B112" s="244" t="s">
        <v>361</v>
      </c>
      <c r="C112" s="302">
        <v>0</v>
      </c>
      <c r="D112" s="230"/>
      <c r="E112" s="619"/>
      <c r="F112" s="231"/>
    </row>
    <row r="113" spans="1:6" s="232" customFormat="1" ht="15.75">
      <c r="A113" s="287" t="s">
        <v>585</v>
      </c>
      <c r="B113" s="244" t="s">
        <v>36</v>
      </c>
      <c r="C113" s="302">
        <v>775065720</v>
      </c>
      <c r="D113" s="230"/>
      <c r="E113" s="619"/>
      <c r="F113" s="231"/>
    </row>
    <row r="114" spans="1:5" s="237" customFormat="1" ht="15">
      <c r="A114" s="290" t="s">
        <v>586</v>
      </c>
      <c r="B114" s="455" t="s">
        <v>593</v>
      </c>
      <c r="C114" s="302">
        <v>0</v>
      </c>
      <c r="D114" s="229"/>
      <c r="E114" s="623"/>
    </row>
    <row r="115" spans="1:5" s="237" customFormat="1" ht="15" customHeight="1" thickBot="1">
      <c r="A115" s="292"/>
      <c r="B115" s="456"/>
      <c r="C115" s="293"/>
      <c r="D115" s="229"/>
      <c r="E115" s="623"/>
    </row>
    <row r="116" spans="1:5" s="237" customFormat="1" ht="18">
      <c r="A116" s="294">
        <v>2000</v>
      </c>
      <c r="B116" s="457" t="s">
        <v>26</v>
      </c>
      <c r="C116" s="295">
        <f>SUM(C118:C126)</f>
        <v>14599786768.188507</v>
      </c>
      <c r="D116" s="229"/>
      <c r="E116" s="623"/>
    </row>
    <row r="117" spans="1:5" s="237" customFormat="1" ht="12" customHeight="1">
      <c r="A117" s="268"/>
      <c r="B117" s="448"/>
      <c r="C117" s="269"/>
      <c r="D117" s="229"/>
      <c r="E117" s="623"/>
    </row>
    <row r="118" spans="1:11" s="237" customFormat="1" ht="15">
      <c r="A118" s="383">
        <v>2100</v>
      </c>
      <c r="B118" s="244" t="s">
        <v>365</v>
      </c>
      <c r="C118" s="302">
        <v>0</v>
      </c>
      <c r="D118"/>
      <c r="E118" s="607"/>
      <c r="F118"/>
      <c r="G118"/>
      <c r="H118"/>
      <c r="I118"/>
      <c r="J118"/>
      <c r="K118"/>
    </row>
    <row r="119" spans="1:11" s="237" customFormat="1" ht="15">
      <c r="A119" s="384" t="s">
        <v>447</v>
      </c>
      <c r="B119" s="452" t="s">
        <v>593</v>
      </c>
      <c r="C119" s="302">
        <v>0</v>
      </c>
      <c r="D119"/>
      <c r="E119" s="607"/>
      <c r="F119"/>
      <c r="G119"/>
      <c r="H119"/>
      <c r="I119"/>
      <c r="J119"/>
      <c r="K119"/>
    </row>
    <row r="120" spans="1:11" s="237" customFormat="1" ht="15">
      <c r="A120" s="383">
        <v>2200</v>
      </c>
      <c r="B120" s="244" t="s">
        <v>366</v>
      </c>
      <c r="C120" s="302">
        <v>0</v>
      </c>
      <c r="D120"/>
      <c r="E120" s="607"/>
      <c r="F120"/>
      <c r="G120"/>
      <c r="H120"/>
      <c r="I120"/>
      <c r="J120"/>
      <c r="K120"/>
    </row>
    <row r="121" spans="1:11" s="237" customFormat="1" ht="15">
      <c r="A121" s="384" t="s">
        <v>448</v>
      </c>
      <c r="B121" s="452" t="s">
        <v>593</v>
      </c>
      <c r="C121" s="302">
        <v>0</v>
      </c>
      <c r="D121"/>
      <c r="E121" s="607"/>
      <c r="F121"/>
      <c r="G121"/>
      <c r="H121"/>
      <c r="I121"/>
      <c r="J121"/>
      <c r="K121"/>
    </row>
    <row r="122" spans="1:11" ht="15">
      <c r="A122" s="383">
        <v>2300</v>
      </c>
      <c r="B122" s="244" t="s">
        <v>367</v>
      </c>
      <c r="C122" s="302">
        <v>3226080</v>
      </c>
      <c r="D122"/>
      <c r="E122" s="607"/>
      <c r="F122"/>
      <c r="G122"/>
      <c r="H122"/>
      <c r="I122"/>
      <c r="J122"/>
      <c r="K122"/>
    </row>
    <row r="123" spans="1:11" ht="15">
      <c r="A123" s="383">
        <v>2400</v>
      </c>
      <c r="B123" s="244" t="s">
        <v>368</v>
      </c>
      <c r="C123" s="302">
        <v>0</v>
      </c>
      <c r="D123"/>
      <c r="E123" s="607"/>
      <c r="F123"/>
      <c r="G123"/>
      <c r="H123"/>
      <c r="I123"/>
      <c r="J123"/>
      <c r="K123"/>
    </row>
    <row r="124" spans="1:11" ht="15">
      <c r="A124" s="383">
        <v>2500</v>
      </c>
      <c r="B124" s="244" t="s">
        <v>369</v>
      </c>
      <c r="C124" s="302">
        <v>0</v>
      </c>
      <c r="D124"/>
      <c r="E124" s="607"/>
      <c r="F124"/>
      <c r="G124"/>
      <c r="H124"/>
      <c r="I124"/>
      <c r="J124"/>
      <c r="K124"/>
    </row>
    <row r="125" spans="1:11" ht="15">
      <c r="A125" s="383">
        <v>2600</v>
      </c>
      <c r="B125" s="244" t="str">
        <f>+CONCATENATE("RECUPERACIÓN DE CARTERA, (AÑOS ",'Información general'!C5-2," Y ANTERIORES )")</f>
        <v>RECUPERACIÓN DE CARTERA, (AÑOS 2019 Y ANTERIORES )</v>
      </c>
      <c r="C125" s="302">
        <v>14596560688.188507</v>
      </c>
      <c r="D125"/>
      <c r="E125" s="607"/>
      <c r="F125"/>
      <c r="G125"/>
      <c r="H125"/>
      <c r="I125"/>
      <c r="J125"/>
      <c r="K125"/>
    </row>
    <row r="126" spans="1:11" ht="15">
      <c r="A126" s="403">
        <v>2700</v>
      </c>
      <c r="B126" s="458" t="s">
        <v>370</v>
      </c>
      <c r="C126" s="288">
        <f>SUM(C127:C128)</f>
        <v>0</v>
      </c>
      <c r="D126"/>
      <c r="E126" s="607"/>
      <c r="F126"/>
      <c r="G126"/>
      <c r="H126"/>
      <c r="I126"/>
      <c r="J126"/>
      <c r="K126"/>
    </row>
    <row r="127" spans="1:11" ht="15">
      <c r="A127" s="289"/>
      <c r="B127" s="451"/>
      <c r="C127" s="404">
        <v>0</v>
      </c>
      <c r="D127"/>
      <c r="E127" s="607"/>
      <c r="F127"/>
      <c r="G127"/>
      <c r="H127"/>
      <c r="I127"/>
      <c r="J127"/>
      <c r="K127"/>
    </row>
    <row r="128" spans="1:11" ht="15">
      <c r="A128" s="289"/>
      <c r="B128" s="451"/>
      <c r="C128" s="404">
        <v>0</v>
      </c>
      <c r="D128"/>
      <c r="E128" s="607"/>
      <c r="F128"/>
      <c r="G128"/>
      <c r="H128"/>
      <c r="I128"/>
      <c r="J128"/>
      <c r="K128"/>
    </row>
    <row r="129" spans="1:11" s="237" customFormat="1" ht="15" customHeight="1" thickBot="1">
      <c r="A129" s="292"/>
      <c r="B129" s="456"/>
      <c r="C129" s="293"/>
      <c r="D129"/>
      <c r="E129" s="607"/>
      <c r="F129"/>
      <c r="G129"/>
      <c r="H129"/>
      <c r="I129"/>
      <c r="J129"/>
      <c r="K129"/>
    </row>
    <row r="130" spans="1:11" ht="18.75" thickBot="1">
      <c r="A130" s="296" t="s">
        <v>146</v>
      </c>
      <c r="B130" s="459"/>
      <c r="C130" s="306">
        <f>C8-C131</f>
        <v>34557982540</v>
      </c>
      <c r="D130"/>
      <c r="E130" s="607"/>
      <c r="F130"/>
      <c r="G130"/>
      <c r="H130"/>
      <c r="I130"/>
      <c r="J130"/>
      <c r="K130"/>
    </row>
    <row r="131" spans="1:11" ht="18.75" thickBot="1">
      <c r="A131" s="297" t="s">
        <v>600</v>
      </c>
      <c r="B131" s="460"/>
      <c r="C131" s="307">
        <f>SUMIF(B8:B128,A131,C8:C128)+C125</f>
        <v>14596560688.188507</v>
      </c>
      <c r="D131"/>
      <c r="E131" s="607"/>
      <c r="F131"/>
      <c r="G131"/>
      <c r="H131"/>
      <c r="I131"/>
      <c r="J131"/>
      <c r="K131"/>
    </row>
    <row r="132" spans="1:11" ht="18.75" thickBot="1">
      <c r="A132" s="298" t="s">
        <v>145</v>
      </c>
      <c r="B132" s="461"/>
      <c r="C132" s="308">
        <f>C131+C130</f>
        <v>49154543228.18851</v>
      </c>
      <c r="D132"/>
      <c r="E132" s="607"/>
      <c r="F132"/>
      <c r="G132"/>
      <c r="H132"/>
      <c r="I132"/>
      <c r="J132"/>
      <c r="K132"/>
    </row>
    <row r="133" spans="1:11" ht="16.5" thickTop="1">
      <c r="A133" s="219"/>
      <c r="B133" s="462"/>
      <c r="C133" s="239"/>
      <c r="D133"/>
      <c r="E133" s="607"/>
      <c r="F133"/>
      <c r="G133"/>
      <c r="H133"/>
      <c r="I133"/>
      <c r="J133"/>
      <c r="K133"/>
    </row>
    <row r="134" spans="1:11" ht="15.75">
      <c r="A134" s="219"/>
      <c r="B134" s="462"/>
      <c r="C134" s="239"/>
      <c r="D134"/>
      <c r="E134" s="607"/>
      <c r="F134"/>
      <c r="G134"/>
      <c r="H134"/>
      <c r="I134"/>
      <c r="J134"/>
      <c r="K134"/>
    </row>
    <row r="135" spans="1:11" ht="16.5" thickBot="1">
      <c r="A135" s="219"/>
      <c r="B135" s="462"/>
      <c r="C135" s="239"/>
      <c r="D135"/>
      <c r="E135" s="607"/>
      <c r="F135"/>
      <c r="G135"/>
      <c r="H135"/>
      <c r="I135"/>
      <c r="J135"/>
      <c r="K135"/>
    </row>
    <row r="136" spans="1:11" ht="24.75" customHeight="1" thickTop="1">
      <c r="A136" s="727" t="s">
        <v>355</v>
      </c>
      <c r="B136" s="728"/>
      <c r="C136" s="254" t="s">
        <v>356</v>
      </c>
      <c r="D136"/>
      <c r="E136" s="607"/>
      <c r="F136"/>
      <c r="G136"/>
      <c r="H136"/>
      <c r="I136"/>
      <c r="J136"/>
      <c r="K136"/>
    </row>
    <row r="137" spans="1:11" ht="24.75" customHeight="1" thickBot="1">
      <c r="A137" s="729" t="s">
        <v>16</v>
      </c>
      <c r="B137" s="730"/>
      <c r="C137" s="255">
        <f>+'Información general'!$C$5</f>
        <v>2021</v>
      </c>
      <c r="D137"/>
      <c r="E137" s="607"/>
      <c r="F137"/>
      <c r="G137"/>
      <c r="H137"/>
      <c r="I137"/>
      <c r="J137"/>
      <c r="K137"/>
    </row>
    <row r="138" spans="1:11" ht="24.75" customHeight="1" thickBot="1">
      <c r="A138" s="731" t="str">
        <f>+CONCATENATE('Información general'!$B$3,"  -  ",'Información general'!$B$4)</f>
        <v>ITAGUI  -  ESE HOSPITAL SAN RAFAEL DE ITAGUI</v>
      </c>
      <c r="B138" s="732"/>
      <c r="C138" s="733"/>
      <c r="D138"/>
      <c r="E138" s="607"/>
      <c r="F138"/>
      <c r="G138"/>
      <c r="H138"/>
      <c r="I138"/>
      <c r="J138"/>
      <c r="K138"/>
    </row>
    <row r="139" spans="1:11" ht="24.75" customHeight="1" thickBot="1">
      <c r="A139" s="256"/>
      <c r="B139" s="463"/>
      <c r="C139" s="257"/>
      <c r="D139"/>
      <c r="E139" s="607"/>
      <c r="F139"/>
      <c r="G139"/>
      <c r="H139"/>
      <c r="I139"/>
      <c r="J139"/>
      <c r="K139"/>
    </row>
    <row r="140" spans="1:11" ht="24.75" customHeight="1" thickBot="1">
      <c r="A140" s="723" t="s">
        <v>360</v>
      </c>
      <c r="B140" s="724"/>
      <c r="C140" s="725"/>
      <c r="D140"/>
      <c r="E140" s="607"/>
      <c r="F140"/>
      <c r="G140"/>
      <c r="H140"/>
      <c r="I140"/>
      <c r="J140"/>
      <c r="K140"/>
    </row>
    <row r="141" spans="1:11" ht="24.75" customHeight="1" thickBot="1">
      <c r="A141" s="258" t="s">
        <v>17</v>
      </c>
      <c r="B141" s="443" t="s">
        <v>372</v>
      </c>
      <c r="C141" s="259" t="s">
        <v>357</v>
      </c>
      <c r="D141"/>
      <c r="E141" s="607"/>
      <c r="F141"/>
      <c r="G141"/>
      <c r="H141"/>
      <c r="I141"/>
      <c r="J141"/>
      <c r="K141"/>
    </row>
    <row r="142" spans="1:12" s="222" customFormat="1" ht="7.5" customHeight="1">
      <c r="A142" s="260"/>
      <c r="B142" s="444"/>
      <c r="C142" s="261"/>
      <c r="D142"/>
      <c r="E142" s="607"/>
      <c r="F142"/>
      <c r="G142"/>
      <c r="H142"/>
      <c r="I142"/>
      <c r="J142"/>
      <c r="K142"/>
      <c r="L142" s="221"/>
    </row>
    <row r="143" spans="1:11" ht="23.25">
      <c r="A143" s="262"/>
      <c r="B143" s="445" t="s">
        <v>27</v>
      </c>
      <c r="C143" s="263">
        <f>C145+C324+C357+C369+C391</f>
        <v>49154543228</v>
      </c>
      <c r="D143"/>
      <c r="E143" s="607"/>
      <c r="F143"/>
      <c r="G143"/>
      <c r="H143"/>
      <c r="I143"/>
      <c r="J143"/>
      <c r="K143"/>
    </row>
    <row r="144" spans="1:11" s="222" customFormat="1" ht="15" customHeight="1" thickBot="1">
      <c r="A144" s="264"/>
      <c r="B144" s="446"/>
      <c r="C144" s="265"/>
      <c r="D144"/>
      <c r="E144" s="609"/>
      <c r="F144"/>
      <c r="G144"/>
      <c r="H144"/>
      <c r="I144"/>
      <c r="J144"/>
      <c r="K144"/>
    </row>
    <row r="145" spans="1:11" ht="18">
      <c r="A145" s="266" t="s">
        <v>28</v>
      </c>
      <c r="B145" s="447" t="s">
        <v>29</v>
      </c>
      <c r="C145" s="267">
        <f>C147+C242+C303</f>
        <v>37442444169</v>
      </c>
      <c r="D145"/>
      <c r="E145" s="609"/>
      <c r="F145"/>
      <c r="G145"/>
      <c r="H145"/>
      <c r="I145"/>
      <c r="J145"/>
      <c r="K145"/>
    </row>
    <row r="146" spans="1:12" s="228" customFormat="1" ht="12" customHeight="1">
      <c r="A146" s="268"/>
      <c r="B146" s="448"/>
      <c r="C146" s="269"/>
      <c r="D146"/>
      <c r="E146" s="609"/>
      <c r="F146"/>
      <c r="G146"/>
      <c r="H146"/>
      <c r="I146"/>
      <c r="J146"/>
      <c r="K146"/>
      <c r="L146" s="221"/>
    </row>
    <row r="147" spans="1:12" s="248" customFormat="1" ht="16.5">
      <c r="A147" s="270">
        <v>1000000</v>
      </c>
      <c r="B147" s="464" t="s">
        <v>30</v>
      </c>
      <c r="C147" s="271">
        <f>C149+C197</f>
        <v>29602605153</v>
      </c>
      <c r="D147"/>
      <c r="E147" s="624"/>
      <c r="F147"/>
      <c r="G147"/>
      <c r="H147"/>
      <c r="I147"/>
      <c r="J147"/>
      <c r="K147"/>
      <c r="L147" s="247"/>
    </row>
    <row r="148" spans="1:11" ht="12" customHeight="1">
      <c r="A148" s="268"/>
      <c r="B148" s="448"/>
      <c r="C148" s="269"/>
      <c r="D148"/>
      <c r="E148" s="611"/>
      <c r="F148"/>
      <c r="G148"/>
      <c r="H148"/>
      <c r="I148"/>
      <c r="J148"/>
      <c r="K148"/>
    </row>
    <row r="149" spans="1:12" s="228" customFormat="1" ht="15.75">
      <c r="A149" s="272">
        <v>1010000</v>
      </c>
      <c r="B149" s="450" t="s">
        <v>31</v>
      </c>
      <c r="C149" s="273">
        <f>C151+C169+C177+C191</f>
        <v>5625388527</v>
      </c>
      <c r="D149"/>
      <c r="E149" s="609"/>
      <c r="F149" s="592"/>
      <c r="G149"/>
      <c r="H149"/>
      <c r="I149"/>
      <c r="J149"/>
      <c r="K149"/>
      <c r="L149" s="221"/>
    </row>
    <row r="150" spans="1:12" s="228" customFormat="1" ht="7.5" customHeight="1">
      <c r="A150" s="268"/>
      <c r="B150" s="448"/>
      <c r="C150" s="269"/>
      <c r="D150"/>
      <c r="E150" s="609"/>
      <c r="F150"/>
      <c r="G150"/>
      <c r="H150"/>
      <c r="I150"/>
      <c r="J150"/>
      <c r="K150"/>
      <c r="L150" s="221"/>
    </row>
    <row r="151" spans="1:11" s="300" customFormat="1" ht="15">
      <c r="A151" s="274">
        <v>1010100</v>
      </c>
      <c r="B151" s="465" t="s">
        <v>32</v>
      </c>
      <c r="C151" s="299">
        <f>SUM(C152:C155)+C167</f>
        <v>779243137</v>
      </c>
      <c r="D151"/>
      <c r="E151" s="609"/>
      <c r="F151"/>
      <c r="G151"/>
      <c r="H151"/>
      <c r="I151"/>
      <c r="J151"/>
      <c r="K151"/>
    </row>
    <row r="152" spans="1:11" s="228" customFormat="1" ht="14.25">
      <c r="A152" s="596">
        <v>1010101</v>
      </c>
      <c r="B152" s="597" t="s">
        <v>33</v>
      </c>
      <c r="C152" s="305">
        <f>ROUND((SUMIF(Administrativos,1,asignacionbasica)*12),0)+12000000+5520000-276007+13800-690+35-2-1</f>
        <v>641003551</v>
      </c>
      <c r="D152" s="598"/>
      <c r="E152" s="612"/>
      <c r="F152" s="598"/>
      <c r="G152" s="598"/>
      <c r="H152" s="598"/>
      <c r="I152" s="598"/>
      <c r="J152" s="598"/>
      <c r="K152" s="598"/>
    </row>
    <row r="153" spans="1:11" ht="14.25">
      <c r="A153" s="275">
        <v>1010102</v>
      </c>
      <c r="B153" s="449" t="s">
        <v>34</v>
      </c>
      <c r="C153" s="305">
        <f>ROUND((SUMIF(Administrativos,1,Extras)*12),0)</f>
        <v>0</v>
      </c>
      <c r="D153"/>
      <c r="E153" s="609"/>
      <c r="F153" s="591"/>
      <c r="G153"/>
      <c r="H153"/>
      <c r="I153"/>
      <c r="J153"/>
      <c r="K153"/>
    </row>
    <row r="154" spans="1:11" ht="14.25">
      <c r="A154" s="275">
        <v>1010103</v>
      </c>
      <c r="B154" s="449" t="s">
        <v>35</v>
      </c>
      <c r="C154" s="303">
        <v>0</v>
      </c>
      <c r="D154"/>
      <c r="E154" s="611"/>
      <c r="F154" s="592"/>
      <c r="G154"/>
      <c r="H154"/>
      <c r="I154"/>
      <c r="J154"/>
      <c r="K154"/>
    </row>
    <row r="155" spans="1:12" s="240" customFormat="1" ht="14.25">
      <c r="A155" s="275">
        <v>1010104</v>
      </c>
      <c r="B155" s="449" t="s">
        <v>36</v>
      </c>
      <c r="C155" s="277">
        <f>SUM(C156:C166)</f>
        <v>138239586</v>
      </c>
      <c r="D155"/>
      <c r="E155" s="607"/>
      <c r="F155"/>
      <c r="G155"/>
      <c r="H155"/>
      <c r="I155"/>
      <c r="J155"/>
      <c r="K155"/>
      <c r="L155" s="221"/>
    </row>
    <row r="156" spans="1:12" s="352" customFormat="1" ht="12" customHeight="1">
      <c r="A156" s="599" t="s">
        <v>409</v>
      </c>
      <c r="B156" s="469" t="s">
        <v>373</v>
      </c>
      <c r="C156" s="600">
        <f>ROUND(SUMIF(Administrativos,1,'Datos seguridad social'!P5:P40),0)</f>
        <v>58347750</v>
      </c>
      <c r="D156" s="598"/>
      <c r="E156" s="606"/>
      <c r="F156" s="598"/>
      <c r="G156" s="598"/>
      <c r="H156" s="598"/>
      <c r="I156" s="598"/>
      <c r="J156" s="598"/>
      <c r="K156" s="598"/>
      <c r="L156" s="228"/>
    </row>
    <row r="157" spans="1:12" s="352" customFormat="1" ht="12.75">
      <c r="A157" s="599" t="s">
        <v>410</v>
      </c>
      <c r="B157" s="469" t="s">
        <v>374</v>
      </c>
      <c r="C157" s="600">
        <f>ROUND(SUMIF(Administrativos,1,'Datos seguridad social'!O5:O40),0)</f>
        <v>29869214</v>
      </c>
      <c r="D157" s="598"/>
      <c r="E157" s="606"/>
      <c r="F157" s="598"/>
      <c r="G157" s="598"/>
      <c r="H157" s="598"/>
      <c r="I157" s="598"/>
      <c r="J157" s="598"/>
      <c r="K157" s="598"/>
      <c r="L157" s="228"/>
    </row>
    <row r="158" spans="1:12" s="352" customFormat="1" ht="12.75">
      <c r="A158" s="599" t="s">
        <v>411</v>
      </c>
      <c r="B158" s="469" t="s">
        <v>616</v>
      </c>
      <c r="C158" s="601">
        <f>ROUND(SUMIF(Administrativos,1,'Datos seguridad social'!R5:R40),0)</f>
        <v>18192604</v>
      </c>
      <c r="D158" s="598"/>
      <c r="E158" s="606"/>
      <c r="F158" s="598"/>
      <c r="G158" s="598"/>
      <c r="H158" s="598"/>
      <c r="I158" s="598"/>
      <c r="J158" s="598"/>
      <c r="K158" s="598"/>
      <c r="L158" s="228"/>
    </row>
    <row r="159" spans="1:12" s="352" customFormat="1" ht="12.75">
      <c r="A159" s="599" t="s">
        <v>412</v>
      </c>
      <c r="B159" s="469" t="s">
        <v>375</v>
      </c>
      <c r="C159" s="600">
        <f>ROUND(SUMIF(Administrativos,1,'Datos seguridad social'!N5:N40),0)</f>
        <v>27571584</v>
      </c>
      <c r="D159" s="598"/>
      <c r="E159" s="606"/>
      <c r="F159" s="598"/>
      <c r="G159" s="598"/>
      <c r="H159" s="598"/>
      <c r="I159" s="598"/>
      <c r="J159" s="598"/>
      <c r="K159" s="598"/>
      <c r="L159" s="228"/>
    </row>
    <row r="160" spans="1:12" s="240" customFormat="1" ht="12.75">
      <c r="A160" s="278" t="s">
        <v>413</v>
      </c>
      <c r="B160" s="466" t="s">
        <v>617</v>
      </c>
      <c r="C160" s="304">
        <v>0</v>
      </c>
      <c r="D160"/>
      <c r="E160" s="607"/>
      <c r="F160"/>
      <c r="G160"/>
      <c r="H160"/>
      <c r="I160"/>
      <c r="J160"/>
      <c r="K160"/>
      <c r="L160" s="221"/>
    </row>
    <row r="161" spans="1:12" s="240" customFormat="1" ht="12.75">
      <c r="A161" s="278" t="s">
        <v>626</v>
      </c>
      <c r="B161" s="466" t="s">
        <v>376</v>
      </c>
      <c r="C161" s="279">
        <f>ROUND(SUMIF(Administrativos,1,'Datos seguridad social'!K5:K40),0)</f>
        <v>0</v>
      </c>
      <c r="D161"/>
      <c r="E161" s="607"/>
      <c r="F161"/>
      <c r="G161"/>
      <c r="H161"/>
      <c r="I161"/>
      <c r="J161"/>
      <c r="K161"/>
      <c r="L161" s="221"/>
    </row>
    <row r="162" spans="1:11" s="228" customFormat="1" ht="12.75">
      <c r="A162" s="599" t="s">
        <v>627</v>
      </c>
      <c r="B162" s="469" t="s">
        <v>618</v>
      </c>
      <c r="C162" s="601">
        <f>+('Datos seguridad social'!M8*12)</f>
        <v>793176</v>
      </c>
      <c r="D162" s="598"/>
      <c r="E162" s="606"/>
      <c r="F162" s="606"/>
      <c r="G162" s="606"/>
      <c r="H162" s="598"/>
      <c r="I162" s="598"/>
      <c r="J162" s="598"/>
      <c r="K162" s="598"/>
    </row>
    <row r="163" spans="1:11" ht="12.75">
      <c r="A163" s="278" t="s">
        <v>414</v>
      </c>
      <c r="B163" s="466" t="s">
        <v>377</v>
      </c>
      <c r="C163" s="304">
        <v>0</v>
      </c>
      <c r="D163"/>
      <c r="E163" s="607"/>
      <c r="F163" s="607"/>
      <c r="G163" s="607"/>
      <c r="H163"/>
      <c r="I163"/>
      <c r="J163"/>
      <c r="K163"/>
    </row>
    <row r="164" spans="1:11" ht="12.75">
      <c r="A164" s="278" t="s">
        <v>415</v>
      </c>
      <c r="B164" s="466" t="s">
        <v>378</v>
      </c>
      <c r="C164" s="304">
        <v>0</v>
      </c>
      <c r="D164"/>
      <c r="E164" s="607"/>
      <c r="F164" s="607"/>
      <c r="G164" s="607"/>
      <c r="H164"/>
      <c r="I164"/>
      <c r="J164"/>
      <c r="K164"/>
    </row>
    <row r="165" spans="1:11" s="228" customFormat="1" ht="12.75">
      <c r="A165" s="599" t="s">
        <v>37</v>
      </c>
      <c r="B165" s="469" t="s">
        <v>166</v>
      </c>
      <c r="C165" s="600">
        <f>ROUND(SUMIF(Administrativos,1,'Datos seguridad social'!Q5:Q40),0)</f>
        <v>3465258</v>
      </c>
      <c r="D165" s="598"/>
      <c r="E165" s="606"/>
      <c r="F165" s="606"/>
      <c r="G165" s="606"/>
      <c r="H165" s="598"/>
      <c r="I165" s="598"/>
      <c r="J165" s="598"/>
      <c r="K165" s="598"/>
    </row>
    <row r="166" spans="1:11" ht="12.75">
      <c r="A166" s="278" t="s">
        <v>647</v>
      </c>
      <c r="B166" s="466"/>
      <c r="C166" s="279">
        <v>0</v>
      </c>
      <c r="D166"/>
      <c r="E166" s="607"/>
      <c r="F166" s="607"/>
      <c r="G166" s="607"/>
      <c r="H166"/>
      <c r="I166"/>
      <c r="J166"/>
      <c r="K166"/>
    </row>
    <row r="167" spans="1:11" ht="14.25">
      <c r="A167" s="280">
        <v>1010199</v>
      </c>
      <c r="B167" s="452" t="s">
        <v>602</v>
      </c>
      <c r="C167" s="303">
        <v>0</v>
      </c>
      <c r="D167"/>
      <c r="E167" s="607"/>
      <c r="F167" s="607"/>
      <c r="G167" s="607"/>
      <c r="H167"/>
      <c r="I167"/>
      <c r="J167"/>
      <c r="K167"/>
    </row>
    <row r="168" spans="1:12" s="228" customFormat="1" ht="7.5" customHeight="1">
      <c r="A168" s="268"/>
      <c r="B168" s="448"/>
      <c r="C168" s="269"/>
      <c r="D168"/>
      <c r="E168" s="607"/>
      <c r="F168" s="607"/>
      <c r="G168" s="607"/>
      <c r="H168"/>
      <c r="I168"/>
      <c r="J168"/>
      <c r="K168"/>
      <c r="L168" s="221"/>
    </row>
    <row r="169" spans="1:11" s="300" customFormat="1" ht="15">
      <c r="A169" s="274">
        <v>1010200</v>
      </c>
      <c r="B169" s="465" t="s">
        <v>38</v>
      </c>
      <c r="C169" s="299">
        <f>SUM(C170:C175)</f>
        <v>4584964461</v>
      </c>
      <c r="D169"/>
      <c r="E169" s="608" t="s">
        <v>738</v>
      </c>
      <c r="F169" s="607"/>
      <c r="G169" s="607"/>
      <c r="H169"/>
      <c r="I169"/>
      <c r="J169"/>
      <c r="K169"/>
    </row>
    <row r="170" spans="1:12" s="241" customFormat="1" ht="14.25">
      <c r="A170" s="275" t="s">
        <v>449</v>
      </c>
      <c r="B170" s="449" t="s">
        <v>39</v>
      </c>
      <c r="C170" s="303">
        <v>803200000</v>
      </c>
      <c r="D170"/>
      <c r="E170" s="608"/>
      <c r="F170" s="607"/>
      <c r="G170" s="607"/>
      <c r="H170"/>
      <c r="I170"/>
      <c r="J170"/>
      <c r="K170"/>
      <c r="L170" s="221"/>
    </row>
    <row r="171" spans="1:11" ht="14.25">
      <c r="A171" s="275" t="s">
        <v>450</v>
      </c>
      <c r="B171" s="449" t="s">
        <v>40</v>
      </c>
      <c r="C171" s="303">
        <v>0</v>
      </c>
      <c r="D171"/>
      <c r="E171" s="607"/>
      <c r="F171" s="607"/>
      <c r="G171" s="607"/>
      <c r="H171"/>
      <c r="I171"/>
      <c r="J171"/>
      <c r="K171"/>
    </row>
    <row r="172" spans="1:11" ht="14.25">
      <c r="A172" s="275" t="s">
        <v>451</v>
      </c>
      <c r="B172" s="449" t="s">
        <v>41</v>
      </c>
      <c r="C172" s="276">
        <f>ROUND(('Información general'!F34*'Información general'!F35*'Información general'!F36),0)</f>
        <v>6440000</v>
      </c>
      <c r="D172"/>
      <c r="E172" s="607"/>
      <c r="F172" s="607"/>
      <c r="G172" s="607"/>
      <c r="H172"/>
      <c r="I172"/>
      <c r="J172"/>
      <c r="K172"/>
    </row>
    <row r="173" spans="1:11" ht="14.25">
      <c r="A173" s="275" t="s">
        <v>452</v>
      </c>
      <c r="B173" s="449" t="s">
        <v>635</v>
      </c>
      <c r="C173" s="303">
        <v>3765324461</v>
      </c>
      <c r="D173"/>
      <c r="E173" s="607"/>
      <c r="F173" s="607"/>
      <c r="G173" s="607"/>
      <c r="H173"/>
      <c r="I173"/>
      <c r="J173"/>
      <c r="K173"/>
    </row>
    <row r="174" spans="1:11" ht="14.25">
      <c r="A174" s="275" t="s">
        <v>630</v>
      </c>
      <c r="B174" s="452" t="s">
        <v>541</v>
      </c>
      <c r="C174" s="303">
        <v>10000000</v>
      </c>
      <c r="D174"/>
      <c r="E174" s="607"/>
      <c r="F174" s="607"/>
      <c r="G174" s="607"/>
      <c r="H174"/>
      <c r="I174"/>
      <c r="J174"/>
      <c r="K174"/>
    </row>
    <row r="175" spans="1:11" ht="14.25">
      <c r="A175" s="280">
        <v>1010299</v>
      </c>
      <c r="B175" s="452" t="s">
        <v>602</v>
      </c>
      <c r="C175" s="303">
        <v>0</v>
      </c>
      <c r="D175"/>
      <c r="E175" s="607"/>
      <c r="F175" s="609"/>
      <c r="G175" s="607"/>
      <c r="H175"/>
      <c r="I175"/>
      <c r="J175"/>
      <c r="K175"/>
    </row>
    <row r="176" spans="1:12" s="228" customFormat="1" ht="7.5" customHeight="1">
      <c r="A176" s="268"/>
      <c r="B176" s="448"/>
      <c r="C176" s="269"/>
      <c r="D176"/>
      <c r="E176" s="607"/>
      <c r="F176" s="607"/>
      <c r="G176" s="607"/>
      <c r="H176"/>
      <c r="I176"/>
      <c r="J176"/>
      <c r="K176"/>
      <c r="L176" s="221"/>
    </row>
    <row r="177" spans="1:11" s="351" customFormat="1" ht="15">
      <c r="A177" s="602">
        <v>1010300</v>
      </c>
      <c r="B177" s="603" t="s">
        <v>42</v>
      </c>
      <c r="C177" s="604">
        <f>C178+C183+C189</f>
        <v>224204181</v>
      </c>
      <c r="D177" s="598"/>
      <c r="E177" s="610"/>
      <c r="F177" s="610"/>
      <c r="G177" s="606"/>
      <c r="H177" s="598"/>
      <c r="I177" s="598"/>
      <c r="J177" s="598"/>
      <c r="K177" s="598"/>
    </row>
    <row r="178" spans="1:11" s="241" customFormat="1" ht="14.25">
      <c r="A178" s="275">
        <v>1010301</v>
      </c>
      <c r="B178" s="449" t="s">
        <v>606</v>
      </c>
      <c r="C178" s="276">
        <f>SUM(C179:C182)</f>
        <v>0</v>
      </c>
      <c r="D178"/>
      <c r="E178" s="608"/>
      <c r="F178" s="609"/>
      <c r="G178" s="607"/>
      <c r="H178"/>
      <c r="I178"/>
      <c r="J178"/>
      <c r="K178"/>
    </row>
    <row r="179" spans="1:11" ht="12.75">
      <c r="A179" s="278" t="s">
        <v>416</v>
      </c>
      <c r="B179" s="466" t="s">
        <v>607</v>
      </c>
      <c r="C179" s="279">
        <f>+'Cálculos seguridad social'!G52</f>
        <v>0</v>
      </c>
      <c r="D179"/>
      <c r="E179" s="607"/>
      <c r="F179" s="607"/>
      <c r="G179" s="607"/>
      <c r="H179"/>
      <c r="I179"/>
      <c r="J179"/>
      <c r="K179"/>
    </row>
    <row r="180" spans="1:11" ht="12.75">
      <c r="A180" s="278" t="s">
        <v>417</v>
      </c>
      <c r="B180" s="466" t="s">
        <v>608</v>
      </c>
      <c r="C180" s="279">
        <f>+'Cálculos seguridad social'!G53</f>
        <v>0</v>
      </c>
      <c r="D180"/>
      <c r="E180" s="607"/>
      <c r="F180" s="607"/>
      <c r="G180" s="607"/>
      <c r="H180"/>
      <c r="I180"/>
      <c r="J180"/>
      <c r="K180"/>
    </row>
    <row r="181" spans="1:11" ht="12.75">
      <c r="A181" s="278" t="s">
        <v>418</v>
      </c>
      <c r="B181" s="466" t="s">
        <v>609</v>
      </c>
      <c r="C181" s="279">
        <f>+'Cálculos seguridad social'!G55</f>
        <v>0</v>
      </c>
      <c r="D181"/>
      <c r="E181" s="607"/>
      <c r="F181" s="611"/>
      <c r="G181" s="607"/>
      <c r="H181"/>
      <c r="I181"/>
      <c r="J181"/>
      <c r="K181"/>
    </row>
    <row r="182" spans="1:11" ht="12.75">
      <c r="A182" s="278" t="s">
        <v>419</v>
      </c>
      <c r="B182" s="466" t="s">
        <v>610</v>
      </c>
      <c r="C182" s="279">
        <f>+'Cálculos seguridad social'!G54</f>
        <v>0</v>
      </c>
      <c r="D182"/>
      <c r="E182" s="607"/>
      <c r="F182" s="607"/>
      <c r="G182" s="607"/>
      <c r="H182"/>
      <c r="I182"/>
      <c r="J182"/>
      <c r="K182"/>
    </row>
    <row r="183" spans="1:11" s="228" customFormat="1" ht="14.25">
      <c r="A183" s="596">
        <v>1010302</v>
      </c>
      <c r="B183" s="597" t="s">
        <v>43</v>
      </c>
      <c r="C183" s="305">
        <f>SUM(C184:C188)</f>
        <v>224204181</v>
      </c>
      <c r="D183" s="598"/>
      <c r="E183" s="610"/>
      <c r="F183" s="606"/>
      <c r="G183" s="606"/>
      <c r="H183" s="598"/>
      <c r="I183" s="598"/>
      <c r="J183" s="598"/>
      <c r="K183" s="598"/>
    </row>
    <row r="184" spans="1:11" s="228" customFormat="1" ht="12.75">
      <c r="A184" s="599" t="s">
        <v>420</v>
      </c>
      <c r="B184" s="469" t="s">
        <v>611</v>
      </c>
      <c r="C184" s="600">
        <f>+'Cálculos seguridad social'!I52</f>
        <v>53018436</v>
      </c>
      <c r="D184" s="598"/>
      <c r="E184" s="610"/>
      <c r="F184" s="606"/>
      <c r="G184" s="606"/>
      <c r="H184" s="598"/>
      <c r="I184" s="598"/>
      <c r="J184" s="598"/>
      <c r="K184" s="598"/>
    </row>
    <row r="185" spans="1:11" s="228" customFormat="1" ht="12.75">
      <c r="A185" s="599" t="s">
        <v>421</v>
      </c>
      <c r="B185" s="469" t="s">
        <v>612</v>
      </c>
      <c r="C185" s="600">
        <f>+'Cálculos seguridad social'!I53</f>
        <v>74849556</v>
      </c>
      <c r="D185" s="598"/>
      <c r="E185" s="606"/>
      <c r="F185" s="606"/>
      <c r="G185" s="606"/>
      <c r="H185" s="598"/>
      <c r="I185" s="598"/>
      <c r="J185" s="598"/>
      <c r="K185" s="598"/>
    </row>
    <row r="186" spans="1:11" s="228" customFormat="1" ht="12.75">
      <c r="A186" s="599" t="s">
        <v>422</v>
      </c>
      <c r="B186" s="469" t="s">
        <v>613</v>
      </c>
      <c r="C186" s="600">
        <f>+'Cálculos seguridad social'!I55</f>
        <v>63498834</v>
      </c>
      <c r="D186" s="598"/>
      <c r="E186" s="606"/>
      <c r="F186" s="606"/>
      <c r="G186" s="606"/>
      <c r="H186" s="598"/>
      <c r="I186" s="598"/>
      <c r="J186" s="598"/>
      <c r="K186" s="598"/>
    </row>
    <row r="187" spans="1:11" s="228" customFormat="1" ht="12.75">
      <c r="A187" s="599" t="s">
        <v>423</v>
      </c>
      <c r="B187" s="469" t="s">
        <v>614</v>
      </c>
      <c r="C187" s="600">
        <f>+'Cálculos seguridad social'!I54</f>
        <v>3255956</v>
      </c>
      <c r="D187" s="598"/>
      <c r="E187" s="610"/>
      <c r="F187" s="606"/>
      <c r="G187" s="606"/>
      <c r="H187" s="598"/>
      <c r="I187" s="598"/>
      <c r="J187" s="598"/>
      <c r="K187" s="598"/>
    </row>
    <row r="188" spans="1:11" s="228" customFormat="1" ht="12.75">
      <c r="A188" s="599" t="s">
        <v>424</v>
      </c>
      <c r="B188" s="469" t="s">
        <v>381</v>
      </c>
      <c r="C188" s="600">
        <f>ROUND(('Cálculos seguridad social'!G22),0)</f>
        <v>29581399</v>
      </c>
      <c r="D188" s="598"/>
      <c r="E188" s="606"/>
      <c r="F188" s="606"/>
      <c r="G188" s="606"/>
      <c r="H188" s="598"/>
      <c r="I188" s="598"/>
      <c r="J188" s="598"/>
      <c r="K188" s="598"/>
    </row>
    <row r="189" spans="1:11" ht="14.25">
      <c r="A189" s="280">
        <v>1010399</v>
      </c>
      <c r="B189" s="452" t="s">
        <v>602</v>
      </c>
      <c r="C189" s="303">
        <v>0</v>
      </c>
      <c r="D189"/>
      <c r="E189" s="607"/>
      <c r="F189" s="607"/>
      <c r="G189" s="607"/>
      <c r="H189"/>
      <c r="I189"/>
      <c r="J189"/>
      <c r="K189"/>
    </row>
    <row r="190" spans="1:12" s="228" customFormat="1" ht="7.5" customHeight="1">
      <c r="A190" s="268"/>
      <c r="B190" s="448"/>
      <c r="C190" s="269"/>
      <c r="D190"/>
      <c r="E190" s="607"/>
      <c r="F190" s="607"/>
      <c r="G190" s="607"/>
      <c r="H190"/>
      <c r="I190"/>
      <c r="J190"/>
      <c r="K190"/>
      <c r="L190" s="221"/>
    </row>
    <row r="191" spans="1:11" s="351" customFormat="1" ht="15">
      <c r="A191" s="602">
        <v>1010400</v>
      </c>
      <c r="B191" s="603" t="s">
        <v>44</v>
      </c>
      <c r="C191" s="615">
        <f>C192+C195</f>
        <v>36976748</v>
      </c>
      <c r="D191" s="598"/>
      <c r="E191" s="606"/>
      <c r="F191" s="606"/>
      <c r="G191" s="606"/>
      <c r="H191" s="598"/>
      <c r="I191" s="598"/>
      <c r="J191" s="598"/>
      <c r="K191" s="598"/>
    </row>
    <row r="192" spans="1:12" s="354" customFormat="1" ht="14.25">
      <c r="A192" s="596">
        <v>1010402</v>
      </c>
      <c r="B192" s="597" t="s">
        <v>43</v>
      </c>
      <c r="C192" s="305">
        <f>SUM(C193:C194)</f>
        <v>36976748</v>
      </c>
      <c r="D192" s="598"/>
      <c r="E192" s="606"/>
      <c r="F192" s="606"/>
      <c r="G192" s="606"/>
      <c r="H192" s="598"/>
      <c r="I192" s="598"/>
      <c r="J192" s="598"/>
      <c r="K192" s="598"/>
      <c r="L192" s="228"/>
    </row>
    <row r="193" spans="1:11" s="228" customFormat="1" ht="12.75">
      <c r="A193" s="599" t="s">
        <v>453</v>
      </c>
      <c r="B193" s="469" t="s">
        <v>379</v>
      </c>
      <c r="C193" s="600">
        <f>ROUND(('Cálculos seguridad social'!G24),0)</f>
        <v>14790699</v>
      </c>
      <c r="D193" s="598"/>
      <c r="E193" s="606"/>
      <c r="F193" s="606"/>
      <c r="G193" s="606"/>
      <c r="H193" s="598"/>
      <c r="I193" s="598"/>
      <c r="J193" s="598"/>
      <c r="K193" s="598"/>
    </row>
    <row r="194" spans="1:11" s="228" customFormat="1" ht="12.75">
      <c r="A194" s="599" t="s">
        <v>454</v>
      </c>
      <c r="B194" s="469" t="s">
        <v>380</v>
      </c>
      <c r="C194" s="600">
        <f>ROUND(('Cálculos seguridad social'!G23),0)</f>
        <v>22186049</v>
      </c>
      <c r="D194" s="598"/>
      <c r="E194" s="606"/>
      <c r="F194" s="606"/>
      <c r="G194" s="606"/>
      <c r="H194" s="598"/>
      <c r="I194" s="598"/>
      <c r="J194" s="598"/>
      <c r="K194" s="598"/>
    </row>
    <row r="195" spans="1:11" ht="14.25">
      <c r="A195" s="280">
        <v>1010499</v>
      </c>
      <c r="B195" s="452" t="s">
        <v>602</v>
      </c>
      <c r="C195" s="303">
        <v>0</v>
      </c>
      <c r="D195"/>
      <c r="E195" s="607"/>
      <c r="F195" s="607"/>
      <c r="G195" s="607"/>
      <c r="H195"/>
      <c r="I195"/>
      <c r="J195"/>
      <c r="K195"/>
    </row>
    <row r="196" spans="1:11" ht="9.75" customHeight="1">
      <c r="A196" s="268"/>
      <c r="B196" s="448"/>
      <c r="C196" s="269"/>
      <c r="D196"/>
      <c r="E196" s="607"/>
      <c r="F196" s="607"/>
      <c r="G196" s="607"/>
      <c r="H196"/>
      <c r="I196"/>
      <c r="J196"/>
      <c r="K196"/>
    </row>
    <row r="197" spans="1:12" s="228" customFormat="1" ht="15.75">
      <c r="A197" s="272">
        <v>1020010</v>
      </c>
      <c r="B197" s="450" t="s">
        <v>45</v>
      </c>
      <c r="C197" s="273">
        <f>C199+C216+C222+C236</f>
        <v>23977216626</v>
      </c>
      <c r="D197"/>
      <c r="E197" s="607"/>
      <c r="F197" s="607"/>
      <c r="G197" s="607"/>
      <c r="H197"/>
      <c r="I197"/>
      <c r="J197"/>
      <c r="K197"/>
      <c r="L197" s="221"/>
    </row>
    <row r="198" spans="1:12" s="228" customFormat="1" ht="7.5" customHeight="1">
      <c r="A198" s="268"/>
      <c r="B198" s="448"/>
      <c r="C198" s="269"/>
      <c r="D198"/>
      <c r="E198" s="607"/>
      <c r="F198" s="607"/>
      <c r="G198" s="607"/>
      <c r="H198"/>
      <c r="I198"/>
      <c r="J198"/>
      <c r="K198"/>
      <c r="L198" s="221"/>
    </row>
    <row r="199" spans="1:11" s="351" customFormat="1" ht="15">
      <c r="A199" s="602">
        <v>1020100</v>
      </c>
      <c r="B199" s="603" t="s">
        <v>32</v>
      </c>
      <c r="C199" s="604">
        <f>SUM(C200:C203)+C214</f>
        <v>1644076531</v>
      </c>
      <c r="D199" s="598"/>
      <c r="E199" s="612"/>
      <c r="F199" s="606"/>
      <c r="G199" s="606"/>
      <c r="H199" s="598"/>
      <c r="I199" s="598"/>
      <c r="J199" s="598"/>
      <c r="K199" s="598"/>
    </row>
    <row r="200" spans="1:11" s="228" customFormat="1" ht="14.25">
      <c r="A200" s="596">
        <v>1020101</v>
      </c>
      <c r="B200" s="597" t="s">
        <v>33</v>
      </c>
      <c r="C200" s="305">
        <f>ROUND((SUMIF(Asistenciales,1,asignacionbasica)*12),0)+54616474</f>
        <v>1258680622</v>
      </c>
      <c r="D200" s="598"/>
      <c r="E200" s="613"/>
      <c r="F200" s="606"/>
      <c r="G200" s="606"/>
      <c r="H200" s="598"/>
      <c r="I200" s="598"/>
      <c r="J200" s="598"/>
      <c r="K200" s="598"/>
    </row>
    <row r="201" spans="1:11" s="228" customFormat="1" ht="14.25">
      <c r="A201" s="596">
        <v>1020102</v>
      </c>
      <c r="B201" s="597" t="s">
        <v>34</v>
      </c>
      <c r="C201" s="305">
        <f>ROUND((SUMIF(Asistenciales,1,Extras)*12),0)</f>
        <v>95176032</v>
      </c>
      <c r="D201" s="598"/>
      <c r="E201" s="606"/>
      <c r="F201" s="606"/>
      <c r="G201" s="606"/>
      <c r="H201" s="598"/>
      <c r="I201" s="598"/>
      <c r="J201" s="598"/>
      <c r="K201" s="598"/>
    </row>
    <row r="202" spans="1:11" ht="14.25">
      <c r="A202" s="275">
        <v>1020103</v>
      </c>
      <c r="B202" s="449" t="s">
        <v>35</v>
      </c>
      <c r="C202" s="303">
        <v>0</v>
      </c>
      <c r="D202"/>
      <c r="E202" s="607"/>
      <c r="F202" s="607"/>
      <c r="G202" s="607"/>
      <c r="H202"/>
      <c r="I202"/>
      <c r="J202"/>
      <c r="K202"/>
    </row>
    <row r="203" spans="1:11" ht="14.25">
      <c r="A203" s="275">
        <v>1020104</v>
      </c>
      <c r="B203" s="449" t="s">
        <v>36</v>
      </c>
      <c r="C203" s="277">
        <f>SUM(C204:C213)</f>
        <v>290219877</v>
      </c>
      <c r="D203"/>
      <c r="E203" s="607"/>
      <c r="F203" s="607"/>
      <c r="G203" s="607"/>
      <c r="H203"/>
      <c r="I203"/>
      <c r="J203"/>
      <c r="K203"/>
    </row>
    <row r="204" spans="1:11" s="228" customFormat="1" ht="12.75">
      <c r="A204" s="599" t="s">
        <v>425</v>
      </c>
      <c r="B204" s="469" t="s">
        <v>373</v>
      </c>
      <c r="C204" s="600">
        <f>ROUND(SUMIF(Asistenciales,1,'Datos seguridad social'!P5:P40),0)</f>
        <v>112891907</v>
      </c>
      <c r="D204" s="598"/>
      <c r="E204" s="606"/>
      <c r="F204" s="606"/>
      <c r="G204" s="606"/>
      <c r="H204" s="598"/>
      <c r="I204" s="598"/>
      <c r="J204" s="598"/>
      <c r="K204" s="598"/>
    </row>
    <row r="205" spans="1:11" s="228" customFormat="1" ht="12.75">
      <c r="A205" s="599" t="s">
        <v>426</v>
      </c>
      <c r="B205" s="469" t="s">
        <v>374</v>
      </c>
      <c r="C205" s="600">
        <f>ROUND(SUMIF(Asistenciales,1,'Datos seguridad social'!O5:O40),0)</f>
        <v>57897752</v>
      </c>
      <c r="D205" s="598"/>
      <c r="E205" s="606"/>
      <c r="F205" s="606"/>
      <c r="G205" s="606"/>
      <c r="H205" s="598"/>
      <c r="I205" s="598"/>
      <c r="J205" s="598"/>
      <c r="K205" s="598"/>
    </row>
    <row r="206" spans="1:11" s="228" customFormat="1" ht="12.75">
      <c r="A206" s="599" t="s">
        <v>427</v>
      </c>
      <c r="B206" s="469" t="s">
        <v>616</v>
      </c>
      <c r="C206" s="601">
        <f>ROUND(SUMIF(Asistenciales,1,'Datos seguridad social'!R5:R40),0)</f>
        <v>35118541</v>
      </c>
      <c r="D206" s="598"/>
      <c r="E206" s="606"/>
      <c r="F206" s="606"/>
      <c r="G206" s="606"/>
      <c r="H206" s="598"/>
      <c r="I206" s="598"/>
      <c r="J206" s="598"/>
      <c r="K206" s="598"/>
    </row>
    <row r="207" spans="1:11" s="228" customFormat="1" ht="12.75">
      <c r="A207" s="599" t="s">
        <v>428</v>
      </c>
      <c r="B207" s="469" t="s">
        <v>375</v>
      </c>
      <c r="C207" s="600">
        <f>ROUND(SUMIF(Asistenciales,1,'Datos seguridad social'!N5:N40),0)</f>
        <v>53444084</v>
      </c>
      <c r="D207" s="598"/>
      <c r="E207" s="606"/>
      <c r="F207" s="606"/>
      <c r="G207" s="606"/>
      <c r="H207" s="598"/>
      <c r="I207" s="598"/>
      <c r="J207" s="598"/>
      <c r="K207" s="598"/>
    </row>
    <row r="208" spans="1:11" ht="12.75">
      <c r="A208" s="278" t="s">
        <v>429</v>
      </c>
      <c r="B208" s="466" t="s">
        <v>617</v>
      </c>
      <c r="C208" s="304">
        <v>0</v>
      </c>
      <c r="D208"/>
      <c r="E208" s="607"/>
      <c r="F208" s="607"/>
      <c r="G208" s="607"/>
      <c r="H208"/>
      <c r="I208"/>
      <c r="J208"/>
      <c r="K208"/>
    </row>
    <row r="209" spans="1:11" s="228" customFormat="1" ht="12.75">
      <c r="A209" s="599" t="s">
        <v>628</v>
      </c>
      <c r="B209" s="469" t="s">
        <v>376</v>
      </c>
      <c r="C209" s="600">
        <f>+('Datos seguridad social'!L41*12)</f>
        <v>2592000</v>
      </c>
      <c r="D209" s="598"/>
      <c r="E209" s="606"/>
      <c r="F209" s="606"/>
      <c r="G209" s="606"/>
      <c r="H209" s="598"/>
      <c r="I209" s="598"/>
      <c r="J209" s="598"/>
      <c r="K209" s="598"/>
    </row>
    <row r="210" spans="1:11" s="228" customFormat="1" ht="12.75">
      <c r="A210" s="599" t="s">
        <v>629</v>
      </c>
      <c r="B210" s="469" t="s">
        <v>618</v>
      </c>
      <c r="C210" s="601">
        <f>+('Datos seguridad social'!M36+'Datos seguridad social'!M38)*12</f>
        <v>1586352</v>
      </c>
      <c r="D210" s="598"/>
      <c r="E210" s="606"/>
      <c r="F210" s="606"/>
      <c r="G210" s="606"/>
      <c r="H210" s="598"/>
      <c r="I210" s="598"/>
      <c r="J210" s="598"/>
      <c r="K210" s="598"/>
    </row>
    <row r="211" spans="1:11" ht="12.75">
      <c r="A211" s="278" t="s">
        <v>430</v>
      </c>
      <c r="B211" s="466" t="s">
        <v>378</v>
      </c>
      <c r="C211" s="304">
        <v>0</v>
      </c>
      <c r="D211"/>
      <c r="E211" s="607"/>
      <c r="F211" s="607"/>
      <c r="G211" s="607"/>
      <c r="H211"/>
      <c r="I211"/>
      <c r="J211"/>
      <c r="K211"/>
    </row>
    <row r="212" spans="1:11" s="228" customFormat="1" ht="12.75">
      <c r="A212" s="599" t="s">
        <v>431</v>
      </c>
      <c r="B212" s="469" t="s">
        <v>166</v>
      </c>
      <c r="C212" s="600">
        <f>ROUND(SUMIF(Asistenciales,1,'Datos seguridad social'!Q5:Q40),0)</f>
        <v>6689241</v>
      </c>
      <c r="D212" s="598"/>
      <c r="E212" s="606"/>
      <c r="F212" s="606"/>
      <c r="G212" s="606"/>
      <c r="H212" s="598"/>
      <c r="I212" s="598"/>
      <c r="J212" s="598"/>
      <c r="K212" s="598"/>
    </row>
    <row r="213" spans="1:11" s="228" customFormat="1" ht="12.75">
      <c r="A213" s="599" t="s">
        <v>46</v>
      </c>
      <c r="B213" s="469"/>
      <c r="C213" s="601">
        <v>20000000</v>
      </c>
      <c r="D213" s="605"/>
      <c r="E213" s="606"/>
      <c r="F213" s="606"/>
      <c r="G213" s="606"/>
      <c r="H213" s="598"/>
      <c r="I213" s="598"/>
      <c r="J213" s="598"/>
      <c r="K213" s="598"/>
    </row>
    <row r="214" spans="1:11" ht="14.25">
      <c r="A214" s="280">
        <v>1020199</v>
      </c>
      <c r="B214" s="452" t="s">
        <v>602</v>
      </c>
      <c r="C214" s="303">
        <v>0</v>
      </c>
      <c r="D214"/>
      <c r="E214" s="607"/>
      <c r="F214" s="607"/>
      <c r="G214" s="607"/>
      <c r="H214"/>
      <c r="I214"/>
      <c r="J214"/>
      <c r="K214"/>
    </row>
    <row r="215" spans="1:12" s="228" customFormat="1" ht="7.5" customHeight="1">
      <c r="A215" s="268"/>
      <c r="B215" s="448"/>
      <c r="C215" s="269"/>
      <c r="D215"/>
      <c r="E215" s="607"/>
      <c r="F215" s="607"/>
      <c r="G215" s="607"/>
      <c r="H215"/>
      <c r="I215"/>
      <c r="J215"/>
      <c r="K215"/>
      <c r="L215" s="221"/>
    </row>
    <row r="216" spans="1:11" s="300" customFormat="1" ht="15">
      <c r="A216" s="274">
        <v>1020200</v>
      </c>
      <c r="B216" s="465" t="s">
        <v>38</v>
      </c>
      <c r="C216" s="299">
        <f>SUM(C217:C220)</f>
        <v>21767245364</v>
      </c>
      <c r="D216"/>
      <c r="E216" s="607" t="s">
        <v>739</v>
      </c>
      <c r="F216" s="607"/>
      <c r="G216" s="607"/>
      <c r="H216"/>
      <c r="I216"/>
      <c r="J216"/>
      <c r="K216"/>
    </row>
    <row r="217" spans="1:11" ht="15">
      <c r="A217" s="275" t="s">
        <v>455</v>
      </c>
      <c r="B217" s="449" t="s">
        <v>39</v>
      </c>
      <c r="C217" s="303">
        <v>4353400000</v>
      </c>
      <c r="D217"/>
      <c r="E217" s="625"/>
      <c r="F217" s="607"/>
      <c r="G217" s="607"/>
      <c r="H217"/>
      <c r="I217"/>
      <c r="J217"/>
      <c r="K217"/>
    </row>
    <row r="218" spans="1:11" ht="14.25">
      <c r="A218" s="275" t="s">
        <v>456</v>
      </c>
      <c r="B218" s="449" t="s">
        <v>40</v>
      </c>
      <c r="C218" s="303">
        <v>0</v>
      </c>
      <c r="D218"/>
      <c r="E218" s="607"/>
      <c r="F218" s="607"/>
      <c r="G218" s="607"/>
      <c r="H218"/>
      <c r="I218"/>
      <c r="J218"/>
      <c r="K218"/>
    </row>
    <row r="219" spans="1:11" ht="14.25">
      <c r="A219" s="275" t="s">
        <v>634</v>
      </c>
      <c r="B219" s="449" t="s">
        <v>635</v>
      </c>
      <c r="C219" s="303">
        <v>17413845364</v>
      </c>
      <c r="D219"/>
      <c r="E219" s="607"/>
      <c r="F219" s="607"/>
      <c r="G219" s="607"/>
      <c r="H219"/>
      <c r="I219"/>
      <c r="J219"/>
      <c r="K219"/>
    </row>
    <row r="220" spans="1:11" ht="14.25">
      <c r="A220" s="280">
        <v>1020299</v>
      </c>
      <c r="B220" s="452" t="s">
        <v>602</v>
      </c>
      <c r="C220" s="303">
        <v>0</v>
      </c>
      <c r="D220"/>
      <c r="E220" s="607" t="s">
        <v>749</v>
      </c>
      <c r="F220" s="611"/>
      <c r="G220" s="607"/>
      <c r="H220"/>
      <c r="I220"/>
      <c r="J220"/>
      <c r="K220"/>
    </row>
    <row r="221" spans="1:12" s="228" customFormat="1" ht="7.5" customHeight="1">
      <c r="A221" s="268"/>
      <c r="B221" s="448"/>
      <c r="C221" s="269"/>
      <c r="D221"/>
      <c r="E221" s="609"/>
      <c r="F221" s="607"/>
      <c r="G221" s="607"/>
      <c r="H221"/>
      <c r="I221"/>
      <c r="J221"/>
      <c r="K221"/>
      <c r="L221" s="221"/>
    </row>
    <row r="222" spans="1:11" s="351" customFormat="1" ht="15">
      <c r="A222" s="602">
        <v>1020300</v>
      </c>
      <c r="B222" s="603" t="s">
        <v>42</v>
      </c>
      <c r="C222" s="604">
        <f>C223+C228+C234</f>
        <v>489721035</v>
      </c>
      <c r="D222" s="598"/>
      <c r="E222" s="612"/>
      <c r="F222" s="606"/>
      <c r="G222" s="606"/>
      <c r="H222" s="598"/>
      <c r="I222" s="598"/>
      <c r="J222" s="598"/>
      <c r="K222" s="598"/>
    </row>
    <row r="223" spans="1:11" ht="14.25">
      <c r="A223" s="275">
        <v>1020301</v>
      </c>
      <c r="B223" s="449" t="s">
        <v>606</v>
      </c>
      <c r="C223" s="276">
        <f>SUM(C224:C227)</f>
        <v>0</v>
      </c>
      <c r="D223"/>
      <c r="E223" s="608"/>
      <c r="F223" s="607"/>
      <c r="G223" s="607"/>
      <c r="H223"/>
      <c r="I223"/>
      <c r="J223"/>
      <c r="K223"/>
    </row>
    <row r="224" spans="1:11" ht="12.75">
      <c r="A224" s="278" t="s">
        <v>432</v>
      </c>
      <c r="B224" s="466" t="s">
        <v>607</v>
      </c>
      <c r="C224" s="279">
        <f>+'Cálculos seguridad social'!H52</f>
        <v>0</v>
      </c>
      <c r="D224"/>
      <c r="E224" s="611"/>
      <c r="F224" s="607"/>
      <c r="G224" s="607"/>
      <c r="H224"/>
      <c r="I224"/>
      <c r="J224"/>
      <c r="K224"/>
    </row>
    <row r="225" spans="1:11" ht="12.75">
      <c r="A225" s="278" t="s">
        <v>433</v>
      </c>
      <c r="B225" s="466" t="s">
        <v>608</v>
      </c>
      <c r="C225" s="279">
        <f>+'Cálculos seguridad social'!H53</f>
        <v>0</v>
      </c>
      <c r="D225"/>
      <c r="E225" s="607"/>
      <c r="F225" s="607"/>
      <c r="G225" s="607"/>
      <c r="H225"/>
      <c r="I225"/>
      <c r="J225"/>
      <c r="K225"/>
    </row>
    <row r="226" spans="1:11" ht="12.75">
      <c r="A226" s="278" t="s">
        <v>434</v>
      </c>
      <c r="B226" s="466" t="s">
        <v>609</v>
      </c>
      <c r="C226" s="279">
        <f>+'Cálculos seguridad social'!H55</f>
        <v>0</v>
      </c>
      <c r="D226"/>
      <c r="E226" s="607"/>
      <c r="F226" s="607"/>
      <c r="G226" s="607"/>
      <c r="H226"/>
      <c r="I226"/>
      <c r="J226"/>
      <c r="K226"/>
    </row>
    <row r="227" spans="1:11" ht="12.75">
      <c r="A227" s="278" t="s">
        <v>435</v>
      </c>
      <c r="B227" s="466" t="s">
        <v>610</v>
      </c>
      <c r="C227" s="279">
        <f>+'Cálculos seguridad social'!H54</f>
        <v>0</v>
      </c>
      <c r="D227"/>
      <c r="E227" s="607"/>
      <c r="F227" s="607"/>
      <c r="G227" s="607"/>
      <c r="H227"/>
      <c r="I227"/>
      <c r="J227"/>
      <c r="K227"/>
    </row>
    <row r="228" spans="1:11" ht="14.25">
      <c r="A228" s="275">
        <v>1020302</v>
      </c>
      <c r="B228" s="449" t="s">
        <v>43</v>
      </c>
      <c r="C228" s="276">
        <f>SUM(C229:C233)</f>
        <v>489721035</v>
      </c>
      <c r="D228"/>
      <c r="E228" s="607"/>
      <c r="F228" s="607"/>
      <c r="G228" s="607"/>
      <c r="H228"/>
      <c r="I228"/>
      <c r="J228"/>
      <c r="K228"/>
    </row>
    <row r="229" spans="1:11" s="228" customFormat="1" ht="12.75">
      <c r="A229" s="599" t="s">
        <v>436</v>
      </c>
      <c r="B229" s="469" t="s">
        <v>611</v>
      </c>
      <c r="C229" s="600">
        <f>+'Cálculos seguridad social'!J52</f>
        <v>110435424</v>
      </c>
      <c r="D229" s="598"/>
      <c r="E229" s="606"/>
      <c r="F229" s="606"/>
      <c r="G229" s="606"/>
      <c r="H229" s="598"/>
      <c r="I229" s="598"/>
      <c r="J229" s="598"/>
      <c r="K229" s="598"/>
    </row>
    <row r="230" spans="1:11" s="228" customFormat="1" ht="12.75">
      <c r="A230" s="599" t="s">
        <v>437</v>
      </c>
      <c r="B230" s="469" t="s">
        <v>612</v>
      </c>
      <c r="C230" s="600">
        <f>+'Cálculos seguridad social'!J53</f>
        <v>155908824</v>
      </c>
      <c r="D230" s="598"/>
      <c r="E230" s="606"/>
      <c r="F230" s="606"/>
      <c r="G230" s="606"/>
      <c r="H230" s="598"/>
      <c r="I230" s="598"/>
      <c r="J230" s="598"/>
      <c r="K230" s="598"/>
    </row>
    <row r="231" spans="1:11" s="228" customFormat="1" ht="12.75">
      <c r="A231" s="599" t="s">
        <v>438</v>
      </c>
      <c r="B231" s="469" t="s">
        <v>613</v>
      </c>
      <c r="C231" s="600">
        <f>+'Cálculos seguridad social'!J55</f>
        <v>130788339</v>
      </c>
      <c r="D231" s="598"/>
      <c r="E231" s="606"/>
      <c r="F231" s="606"/>
      <c r="G231" s="606"/>
      <c r="H231" s="598"/>
      <c r="I231" s="598"/>
      <c r="J231" s="598"/>
      <c r="K231" s="598"/>
    </row>
    <row r="232" spans="1:11" s="228" customFormat="1" ht="12.75">
      <c r="A232" s="599" t="s">
        <v>439</v>
      </c>
      <c r="B232" s="469" t="s">
        <v>614</v>
      </c>
      <c r="C232" s="600">
        <f>+'Cálculos seguridad social'!J54</f>
        <v>31649491</v>
      </c>
      <c r="D232" s="598"/>
      <c r="E232" s="606"/>
      <c r="F232" s="606"/>
      <c r="G232" s="606"/>
      <c r="H232" s="598"/>
      <c r="I232" s="598"/>
      <c r="J232" s="598"/>
      <c r="K232" s="598"/>
    </row>
    <row r="233" spans="1:11" s="228" customFormat="1" ht="12.75">
      <c r="A233" s="599" t="s">
        <v>440</v>
      </c>
      <c r="B233" s="469" t="s">
        <v>381</v>
      </c>
      <c r="C233" s="600">
        <f>ROUND(('Cálculos seguridad social'!H22),0)</f>
        <v>60938957</v>
      </c>
      <c r="D233" s="598"/>
      <c r="E233" s="606"/>
      <c r="F233" s="606"/>
      <c r="G233" s="606"/>
      <c r="H233" s="598"/>
      <c r="I233" s="598"/>
      <c r="J233" s="598"/>
      <c r="K233" s="598"/>
    </row>
    <row r="234" spans="1:11" ht="14.25">
      <c r="A234" s="280">
        <v>1020399</v>
      </c>
      <c r="B234" s="452" t="s">
        <v>602</v>
      </c>
      <c r="C234" s="303">
        <v>0</v>
      </c>
      <c r="D234"/>
      <c r="E234" s="607"/>
      <c r="F234" s="607"/>
      <c r="G234" s="607"/>
      <c r="H234"/>
      <c r="I234"/>
      <c r="J234"/>
      <c r="K234"/>
    </row>
    <row r="235" spans="1:12" s="228" customFormat="1" ht="8.25" customHeight="1">
      <c r="A235" s="268"/>
      <c r="B235" s="448"/>
      <c r="C235" s="269"/>
      <c r="D235"/>
      <c r="E235" s="607"/>
      <c r="F235" s="607"/>
      <c r="G235" s="607"/>
      <c r="H235"/>
      <c r="I235"/>
      <c r="J235"/>
      <c r="K235"/>
      <c r="L235" s="221"/>
    </row>
    <row r="236" spans="1:11" s="351" customFormat="1" ht="15">
      <c r="A236" s="602">
        <v>1020400</v>
      </c>
      <c r="B236" s="603" t="s">
        <v>47</v>
      </c>
      <c r="C236" s="604">
        <f>C237+C240</f>
        <v>76173696</v>
      </c>
      <c r="D236" s="598"/>
      <c r="E236" s="606"/>
      <c r="F236" s="606"/>
      <c r="G236" s="606"/>
      <c r="H236" s="598"/>
      <c r="I236" s="598"/>
      <c r="J236" s="598"/>
      <c r="K236" s="598"/>
    </row>
    <row r="237" spans="1:11" s="228" customFormat="1" ht="14.25">
      <c r="A237" s="596">
        <v>1020402</v>
      </c>
      <c r="B237" s="597" t="s">
        <v>43</v>
      </c>
      <c r="C237" s="305">
        <f>SUM(C238:C239)</f>
        <v>76173696</v>
      </c>
      <c r="D237" s="598"/>
      <c r="E237" s="606"/>
      <c r="F237" s="606"/>
      <c r="G237" s="606"/>
      <c r="H237" s="598"/>
      <c r="I237" s="598"/>
      <c r="J237" s="598"/>
      <c r="K237" s="598"/>
    </row>
    <row r="238" spans="1:11" s="228" customFormat="1" ht="12.75">
      <c r="A238" s="599" t="s">
        <v>457</v>
      </c>
      <c r="B238" s="469" t="s">
        <v>379</v>
      </c>
      <c r="C238" s="600">
        <f>+'Cálculos seguridad social'!H24</f>
        <v>30469478</v>
      </c>
      <c r="D238" s="598"/>
      <c r="E238" s="606"/>
      <c r="F238" s="606"/>
      <c r="G238" s="606"/>
      <c r="H238" s="598"/>
      <c r="I238" s="598"/>
      <c r="J238" s="598"/>
      <c r="K238" s="598"/>
    </row>
    <row r="239" spans="1:11" s="228" customFormat="1" ht="12.75">
      <c r="A239" s="599" t="s">
        <v>458</v>
      </c>
      <c r="B239" s="469" t="s">
        <v>380</v>
      </c>
      <c r="C239" s="600">
        <f>+'Cálculos seguridad social'!H23</f>
        <v>45704218</v>
      </c>
      <c r="D239" s="598"/>
      <c r="E239" s="606"/>
      <c r="F239" s="606"/>
      <c r="G239" s="606"/>
      <c r="H239" s="598"/>
      <c r="I239" s="598"/>
      <c r="J239" s="598"/>
      <c r="K239" s="598"/>
    </row>
    <row r="240" spans="1:11" ht="14.25">
      <c r="A240" s="280">
        <v>1020499</v>
      </c>
      <c r="B240" s="452" t="s">
        <v>602</v>
      </c>
      <c r="C240" s="303">
        <v>0</v>
      </c>
      <c r="D240"/>
      <c r="E240" s="607"/>
      <c r="F240" s="607"/>
      <c r="G240" s="607"/>
      <c r="H240"/>
      <c r="I240"/>
      <c r="J240"/>
      <c r="K240"/>
    </row>
    <row r="241" spans="1:12" s="228" customFormat="1" ht="12" customHeight="1">
      <c r="A241" s="268"/>
      <c r="B241" s="448"/>
      <c r="C241" s="269"/>
      <c r="D241"/>
      <c r="E241" s="607"/>
      <c r="F241" s="607"/>
      <c r="G241" s="607"/>
      <c r="H241"/>
      <c r="I241"/>
      <c r="J241"/>
      <c r="K241"/>
      <c r="L241" s="221"/>
    </row>
    <row r="242" spans="1:12" s="248" customFormat="1" ht="16.5">
      <c r="A242" s="270">
        <v>2000000</v>
      </c>
      <c r="B242" s="464" t="s">
        <v>48</v>
      </c>
      <c r="C242" s="271">
        <f>C244+C277</f>
        <v>7490512228</v>
      </c>
      <c r="D242"/>
      <c r="E242" s="609"/>
      <c r="F242" s="607"/>
      <c r="G242" s="607"/>
      <c r="H242"/>
      <c r="I242"/>
      <c r="J242"/>
      <c r="K242"/>
      <c r="L242" s="247"/>
    </row>
    <row r="243" spans="1:11" ht="9.75" customHeight="1">
      <c r="A243" s="268"/>
      <c r="B243" s="448"/>
      <c r="C243" s="269"/>
      <c r="D243"/>
      <c r="E243" s="607"/>
      <c r="F243" s="607"/>
      <c r="G243" s="607"/>
      <c r="H243"/>
      <c r="I243"/>
      <c r="J243"/>
      <c r="K243"/>
    </row>
    <row r="244" spans="1:12" s="228" customFormat="1" ht="15.75">
      <c r="A244" s="272">
        <v>2010000</v>
      </c>
      <c r="B244" s="450" t="s">
        <v>31</v>
      </c>
      <c r="C244" s="273">
        <f>C246+C255+C273</f>
        <v>4884004053</v>
      </c>
      <c r="D244"/>
      <c r="E244" s="611"/>
      <c r="F244" s="607"/>
      <c r="G244" s="607"/>
      <c r="H244"/>
      <c r="I244"/>
      <c r="J244"/>
      <c r="K244"/>
      <c r="L244" s="221"/>
    </row>
    <row r="245" spans="1:12" s="228" customFormat="1" ht="7.5" customHeight="1">
      <c r="A245" s="268"/>
      <c r="B245" s="448"/>
      <c r="C245" s="269"/>
      <c r="D245"/>
      <c r="E245" s="607"/>
      <c r="F245" s="607"/>
      <c r="G245" s="607"/>
      <c r="H245"/>
      <c r="I245"/>
      <c r="J245"/>
      <c r="K245"/>
      <c r="L245" s="221"/>
    </row>
    <row r="246" spans="1:11" s="300" customFormat="1" ht="15">
      <c r="A246" s="274">
        <v>2010100</v>
      </c>
      <c r="B246" s="465" t="s">
        <v>49</v>
      </c>
      <c r="C246" s="299">
        <f>SUM(C247:C253)</f>
        <v>445006955</v>
      </c>
      <c r="D246"/>
      <c r="E246" s="608"/>
      <c r="F246" s="607"/>
      <c r="G246" s="607"/>
      <c r="H246"/>
      <c r="I246"/>
      <c r="J246"/>
      <c r="K246"/>
    </row>
    <row r="247" spans="1:11" ht="14.25">
      <c r="A247" s="275" t="s">
        <v>459</v>
      </c>
      <c r="B247" s="449" t="s">
        <v>50</v>
      </c>
      <c r="C247" s="303">
        <v>240970955</v>
      </c>
      <c r="D247"/>
      <c r="E247" s="608" t="s">
        <v>733</v>
      </c>
      <c r="F247" s="607"/>
      <c r="G247" s="607"/>
      <c r="H247"/>
      <c r="I247"/>
      <c r="J247"/>
      <c r="K247"/>
    </row>
    <row r="248" spans="1:11" ht="14.25">
      <c r="A248" s="275" t="s">
        <v>460</v>
      </c>
      <c r="B248" s="449" t="s">
        <v>51</v>
      </c>
      <c r="C248" s="303">
        <v>201521000</v>
      </c>
      <c r="D248"/>
      <c r="E248" s="608" t="s">
        <v>735</v>
      </c>
      <c r="F248" s="607"/>
      <c r="G248" s="607"/>
      <c r="H248"/>
      <c r="I248"/>
      <c r="J248"/>
      <c r="K248"/>
    </row>
    <row r="249" spans="1:11" ht="14.25">
      <c r="A249" s="275" t="s">
        <v>461</v>
      </c>
      <c r="B249" s="449" t="s">
        <v>462</v>
      </c>
      <c r="C249" s="303">
        <v>2515000</v>
      </c>
      <c r="D249"/>
      <c r="E249" s="608"/>
      <c r="F249" s="607"/>
      <c r="G249" s="607"/>
      <c r="H249"/>
      <c r="I249"/>
      <c r="J249"/>
      <c r="K249"/>
    </row>
    <row r="250" spans="1:11" ht="14.25">
      <c r="A250" s="275" t="s">
        <v>463</v>
      </c>
      <c r="B250" s="449"/>
      <c r="C250" s="303">
        <v>0</v>
      </c>
      <c r="D250"/>
      <c r="E250" s="608"/>
      <c r="F250" s="607"/>
      <c r="G250" s="607"/>
      <c r="H250"/>
      <c r="I250"/>
      <c r="J250"/>
      <c r="K250"/>
    </row>
    <row r="251" spans="1:11" ht="14.25">
      <c r="A251" s="275" t="s">
        <v>464</v>
      </c>
      <c r="B251" s="449"/>
      <c r="C251" s="303">
        <v>0</v>
      </c>
      <c r="D251"/>
      <c r="E251" s="607"/>
      <c r="F251" s="607"/>
      <c r="G251" s="607"/>
      <c r="H251"/>
      <c r="I251"/>
      <c r="J251"/>
      <c r="K251"/>
    </row>
    <row r="252" spans="1:11" ht="14.25">
      <c r="A252" s="275" t="s">
        <v>465</v>
      </c>
      <c r="B252" s="449"/>
      <c r="C252" s="303">
        <v>0</v>
      </c>
      <c r="D252"/>
      <c r="E252" s="607"/>
      <c r="F252" s="607"/>
      <c r="G252" s="607"/>
      <c r="H252"/>
      <c r="I252"/>
      <c r="J252"/>
      <c r="K252"/>
    </row>
    <row r="253" spans="1:11" ht="14.25">
      <c r="A253" s="280">
        <v>2010199</v>
      </c>
      <c r="B253" s="452" t="s">
        <v>602</v>
      </c>
      <c r="C253" s="303">
        <v>0</v>
      </c>
      <c r="D253"/>
      <c r="E253" s="609"/>
      <c r="F253" s="607"/>
      <c r="G253" s="607"/>
      <c r="H253"/>
      <c r="I253"/>
      <c r="J253"/>
      <c r="K253"/>
    </row>
    <row r="254" spans="1:12" s="228" customFormat="1" ht="7.5" customHeight="1">
      <c r="A254" s="268"/>
      <c r="B254" s="448"/>
      <c r="C254" s="269"/>
      <c r="D254"/>
      <c r="E254" s="609"/>
      <c r="F254" s="607"/>
      <c r="G254" s="607"/>
      <c r="H254"/>
      <c r="I254"/>
      <c r="J254"/>
      <c r="K254"/>
      <c r="L254" s="221"/>
    </row>
    <row r="255" spans="1:11" s="300" customFormat="1" ht="15">
      <c r="A255" s="274">
        <v>2010200</v>
      </c>
      <c r="B255" s="465" t="s">
        <v>52</v>
      </c>
      <c r="C255" s="299">
        <f>SUM(C256:C271)</f>
        <v>4435802038</v>
      </c>
      <c r="D255"/>
      <c r="E255" s="609"/>
      <c r="F255" s="607"/>
      <c r="G255" s="607"/>
      <c r="H255"/>
      <c r="I255"/>
      <c r="J255"/>
      <c r="K255"/>
    </row>
    <row r="256" spans="1:11" ht="14.25">
      <c r="A256" s="275" t="s">
        <v>466</v>
      </c>
      <c r="B256" s="449" t="s">
        <v>53</v>
      </c>
      <c r="C256" s="303">
        <v>560256000</v>
      </c>
      <c r="D256"/>
      <c r="E256" s="609" t="s">
        <v>737</v>
      </c>
      <c r="F256" s="607"/>
      <c r="G256" s="607"/>
      <c r="H256"/>
      <c r="I256"/>
      <c r="J256"/>
      <c r="K256"/>
    </row>
    <row r="257" spans="1:11" ht="14.25">
      <c r="A257" s="275" t="s">
        <v>467</v>
      </c>
      <c r="B257" s="449" t="s">
        <v>54</v>
      </c>
      <c r="C257" s="303">
        <v>20152020</v>
      </c>
      <c r="D257"/>
      <c r="E257" s="609" t="s">
        <v>737</v>
      </c>
      <c r="F257" s="607"/>
      <c r="G257" s="607"/>
      <c r="H257"/>
      <c r="I257"/>
      <c r="J257"/>
      <c r="K257"/>
    </row>
    <row r="258" spans="1:11" ht="14.25">
      <c r="A258" s="275" t="s">
        <v>468</v>
      </c>
      <c r="B258" s="449" t="s">
        <v>55</v>
      </c>
      <c r="C258" s="303">
        <v>1150250002</v>
      </c>
      <c r="D258"/>
      <c r="E258" s="607" t="s">
        <v>734</v>
      </c>
      <c r="F258" s="607"/>
      <c r="G258" s="607"/>
      <c r="H258"/>
      <c r="I258"/>
      <c r="J258"/>
      <c r="K258"/>
    </row>
    <row r="259" spans="1:11" ht="14.25">
      <c r="A259" s="275" t="s">
        <v>469</v>
      </c>
      <c r="B259" s="449" t="s">
        <v>56</v>
      </c>
      <c r="C259" s="303">
        <v>20562000</v>
      </c>
      <c r="D259"/>
      <c r="E259" s="607" t="s">
        <v>736</v>
      </c>
      <c r="F259" s="607"/>
      <c r="G259" s="607"/>
      <c r="H259"/>
      <c r="I259"/>
      <c r="J259"/>
      <c r="K259"/>
    </row>
    <row r="260" spans="1:11" ht="14.25">
      <c r="A260" s="275" t="s">
        <v>470</v>
      </c>
      <c r="B260" s="449" t="s">
        <v>57</v>
      </c>
      <c r="C260" s="303">
        <v>10250000</v>
      </c>
      <c r="D260"/>
      <c r="E260" s="607" t="s">
        <v>736</v>
      </c>
      <c r="F260" s="607"/>
      <c r="G260" s="607"/>
      <c r="H260"/>
      <c r="I260"/>
      <c r="J260"/>
      <c r="K260"/>
    </row>
    <row r="261" spans="1:11" ht="14.25">
      <c r="A261" s="275" t="s">
        <v>471</v>
      </c>
      <c r="B261" s="449" t="s">
        <v>58</v>
      </c>
      <c r="C261" s="303">
        <v>500026500</v>
      </c>
      <c r="D261"/>
      <c r="E261" s="609" t="s">
        <v>737</v>
      </c>
      <c r="F261" s="607"/>
      <c r="G261" s="607"/>
      <c r="H261"/>
      <c r="I261"/>
      <c r="J261"/>
      <c r="K261"/>
    </row>
    <row r="262" spans="1:11" ht="14.25">
      <c r="A262" s="275" t="s">
        <v>472</v>
      </c>
      <c r="B262" s="449" t="s">
        <v>59</v>
      </c>
      <c r="C262" s="303">
        <v>2039038552</v>
      </c>
      <c r="D262"/>
      <c r="E262" s="607" t="s">
        <v>737</v>
      </c>
      <c r="F262" s="607"/>
      <c r="G262" s="607"/>
      <c r="H262"/>
      <c r="I262"/>
      <c r="J262"/>
      <c r="K262"/>
    </row>
    <row r="263" spans="1:11" ht="14.25">
      <c r="A263" s="275" t="s">
        <v>473</v>
      </c>
      <c r="B263" s="449" t="s">
        <v>60</v>
      </c>
      <c r="C263" s="276">
        <f>ROUND(((C152+C200)*'Información general'!F18),0)*(1-'Información general'!F20)+C12</f>
        <v>94984209</v>
      </c>
      <c r="D263" s="388"/>
      <c r="E263" s="607" t="s">
        <v>739</v>
      </c>
      <c r="F263" s="607"/>
      <c r="G263" s="607"/>
      <c r="H263"/>
      <c r="I263"/>
      <c r="J263"/>
      <c r="K263"/>
    </row>
    <row r="264" spans="1:11" ht="14.25">
      <c r="A264" s="275" t="s">
        <v>474</v>
      </c>
      <c r="B264" s="449" t="s">
        <v>475</v>
      </c>
      <c r="C264" s="303">
        <v>10132500</v>
      </c>
      <c r="D264"/>
      <c r="E264" s="607"/>
      <c r="F264" s="607"/>
      <c r="G264" s="607"/>
      <c r="H264"/>
      <c r="I264"/>
      <c r="J264"/>
      <c r="K264"/>
    </row>
    <row r="265" spans="1:11" ht="14.25">
      <c r="A265" s="275" t="s">
        <v>476</v>
      </c>
      <c r="B265" s="467" t="s">
        <v>543</v>
      </c>
      <c r="C265" s="303">
        <v>0</v>
      </c>
      <c r="D265"/>
      <c r="E265" s="607"/>
      <c r="F265" s="607"/>
      <c r="G265" s="607"/>
      <c r="H265"/>
      <c r="I265"/>
      <c r="J265"/>
      <c r="K265"/>
    </row>
    <row r="266" spans="1:11" ht="14.25">
      <c r="A266" s="275" t="s">
        <v>477</v>
      </c>
      <c r="B266" s="449" t="s">
        <v>478</v>
      </c>
      <c r="C266" s="303">
        <v>30150255</v>
      </c>
      <c r="D266"/>
      <c r="E266" s="607" t="s">
        <v>737</v>
      </c>
      <c r="F266" s="607"/>
      <c r="G266" s="607"/>
      <c r="H266"/>
      <c r="I266"/>
      <c r="J266"/>
      <c r="K266"/>
    </row>
    <row r="267" spans="1:11" ht="14.25">
      <c r="A267" s="275" t="s">
        <v>479</v>
      </c>
      <c r="B267" s="449"/>
      <c r="C267" s="303">
        <v>0</v>
      </c>
      <c r="D267" s="388"/>
      <c r="E267" s="607"/>
      <c r="F267" s="607"/>
      <c r="G267" s="607"/>
      <c r="H267"/>
      <c r="I267"/>
      <c r="J267"/>
      <c r="K267"/>
    </row>
    <row r="268" spans="1:11" ht="14.25">
      <c r="A268" s="275" t="s">
        <v>480</v>
      </c>
      <c r="B268" s="449"/>
      <c r="C268" s="303">
        <v>0</v>
      </c>
      <c r="D268"/>
      <c r="E268" s="607"/>
      <c r="F268" s="607"/>
      <c r="G268" s="607"/>
      <c r="H268"/>
      <c r="I268"/>
      <c r="J268"/>
      <c r="K268"/>
    </row>
    <row r="269" spans="1:11" ht="14.25">
      <c r="A269" s="275" t="s">
        <v>481</v>
      </c>
      <c r="B269" s="449"/>
      <c r="C269" s="303">
        <v>0</v>
      </c>
      <c r="D269"/>
      <c r="E269" s="607"/>
      <c r="F269" s="607"/>
      <c r="G269" s="607"/>
      <c r="H269"/>
      <c r="I269"/>
      <c r="J269"/>
      <c r="K269"/>
    </row>
    <row r="270" spans="1:11" ht="14.25">
      <c r="A270" s="275" t="s">
        <v>482</v>
      </c>
      <c r="B270" s="449"/>
      <c r="C270" s="303">
        <v>0</v>
      </c>
      <c r="D270"/>
      <c r="E270" s="607"/>
      <c r="F270" s="607"/>
      <c r="G270" s="607"/>
      <c r="H270"/>
      <c r="I270"/>
      <c r="J270"/>
      <c r="K270"/>
    </row>
    <row r="271" spans="1:11" ht="14.25">
      <c r="A271" s="280">
        <v>2010299</v>
      </c>
      <c r="B271" s="452" t="s">
        <v>602</v>
      </c>
      <c r="C271" s="303">
        <v>0</v>
      </c>
      <c r="D271"/>
      <c r="E271" s="607"/>
      <c r="F271" s="607"/>
      <c r="G271" s="607"/>
      <c r="H271"/>
      <c r="I271"/>
      <c r="J271"/>
      <c r="K271"/>
    </row>
    <row r="272" spans="1:12" s="228" customFormat="1" ht="7.5" customHeight="1">
      <c r="A272" s="268"/>
      <c r="B272" s="448"/>
      <c r="C272" s="269"/>
      <c r="D272"/>
      <c r="E272" s="607"/>
      <c r="F272" s="607"/>
      <c r="G272" s="607"/>
      <c r="H272"/>
      <c r="I272"/>
      <c r="J272"/>
      <c r="K272"/>
      <c r="L272" s="221"/>
    </row>
    <row r="273" spans="1:11" s="300" customFormat="1" ht="15">
      <c r="A273" s="274">
        <v>2010300</v>
      </c>
      <c r="B273" s="465" t="s">
        <v>61</v>
      </c>
      <c r="C273" s="299">
        <f>+SUM(C274:C275)</f>
        <v>3195060</v>
      </c>
      <c r="D273"/>
      <c r="E273" s="607"/>
      <c r="F273" s="607"/>
      <c r="G273" s="607"/>
      <c r="H273"/>
      <c r="I273"/>
      <c r="J273"/>
      <c r="K273"/>
    </row>
    <row r="274" spans="1:11" ht="14.25">
      <c r="A274" s="275" t="s">
        <v>483</v>
      </c>
      <c r="B274" s="449" t="s">
        <v>147</v>
      </c>
      <c r="C274" s="303">
        <v>3195060</v>
      </c>
      <c r="D274"/>
      <c r="E274" s="607"/>
      <c r="F274" s="607"/>
      <c r="G274" s="607"/>
      <c r="H274"/>
      <c r="I274"/>
      <c r="J274"/>
      <c r="K274"/>
    </row>
    <row r="275" spans="1:11" ht="14.25">
      <c r="A275" s="280">
        <v>2010399</v>
      </c>
      <c r="B275" s="452" t="s">
        <v>602</v>
      </c>
      <c r="C275" s="303">
        <v>0</v>
      </c>
      <c r="D275"/>
      <c r="E275" s="607"/>
      <c r="F275" s="607"/>
      <c r="G275" s="607"/>
      <c r="H275"/>
      <c r="I275"/>
      <c r="J275"/>
      <c r="K275"/>
    </row>
    <row r="276" spans="1:11" ht="9.75" customHeight="1">
      <c r="A276" s="268"/>
      <c r="B276" s="448"/>
      <c r="C276" s="269"/>
      <c r="D276"/>
      <c r="E276" s="607"/>
      <c r="F276" s="607"/>
      <c r="G276" s="607"/>
      <c r="H276"/>
      <c r="I276"/>
      <c r="J276"/>
      <c r="K276"/>
    </row>
    <row r="277" spans="1:12" s="228" customFormat="1" ht="15.75">
      <c r="A277" s="272">
        <v>2020010</v>
      </c>
      <c r="B277" s="450" t="s">
        <v>45</v>
      </c>
      <c r="C277" s="273">
        <f>C279+C287</f>
        <v>2606508175</v>
      </c>
      <c r="D277"/>
      <c r="E277" s="607"/>
      <c r="F277" s="607"/>
      <c r="G277" s="607"/>
      <c r="H277"/>
      <c r="I277"/>
      <c r="J277"/>
      <c r="K277"/>
      <c r="L277" s="221"/>
    </row>
    <row r="278" spans="1:12" s="228" customFormat="1" ht="7.5" customHeight="1">
      <c r="A278" s="268"/>
      <c r="B278" s="448"/>
      <c r="C278" s="269"/>
      <c r="D278"/>
      <c r="E278" s="607"/>
      <c r="F278" s="607"/>
      <c r="G278" s="607"/>
      <c r="H278"/>
      <c r="I278"/>
      <c r="J278"/>
      <c r="K278"/>
      <c r="L278" s="221"/>
    </row>
    <row r="279" spans="1:11" s="300" customFormat="1" ht="15">
      <c r="A279" s="274">
        <v>2020100</v>
      </c>
      <c r="B279" s="465" t="s">
        <v>49</v>
      </c>
      <c r="C279" s="299">
        <f>SUM(C280:C281)+C285</f>
        <v>1502539263</v>
      </c>
      <c r="D279"/>
      <c r="E279" s="607"/>
      <c r="F279" s="607"/>
      <c r="G279" s="607"/>
      <c r="H279"/>
      <c r="I279"/>
      <c r="J279"/>
      <c r="K279"/>
    </row>
    <row r="280" spans="1:11" ht="14.25">
      <c r="A280" s="275">
        <v>2020101</v>
      </c>
      <c r="B280" s="449" t="s">
        <v>62</v>
      </c>
      <c r="C280" s="303">
        <v>863868912</v>
      </c>
      <c r="D280"/>
      <c r="E280" s="607" t="s">
        <v>735</v>
      </c>
      <c r="F280" s="607"/>
      <c r="G280" s="607"/>
      <c r="H280"/>
      <c r="I280"/>
      <c r="J280"/>
      <c r="K280"/>
    </row>
    <row r="281" spans="1:11" ht="14.25">
      <c r="A281" s="275">
        <v>2020102</v>
      </c>
      <c r="B281" s="449" t="s">
        <v>36</v>
      </c>
      <c r="C281" s="305">
        <f>SUM(C282:C284)</f>
        <v>638670351</v>
      </c>
      <c r="D281"/>
      <c r="E281" s="607"/>
      <c r="F281" s="607"/>
      <c r="G281" s="607"/>
      <c r="H281"/>
      <c r="I281"/>
      <c r="J281"/>
      <c r="K281"/>
    </row>
    <row r="282" spans="1:11" ht="12.75">
      <c r="A282" s="278" t="s">
        <v>63</v>
      </c>
      <c r="B282" s="466" t="s">
        <v>484</v>
      </c>
      <c r="C282" s="304">
        <v>155100000</v>
      </c>
      <c r="D282"/>
      <c r="E282" s="608" t="s">
        <v>732</v>
      </c>
      <c r="F282" s="607"/>
      <c r="G282" s="607"/>
      <c r="H282"/>
      <c r="I282"/>
      <c r="J282"/>
      <c r="K282"/>
    </row>
    <row r="283" spans="1:11" ht="12.75">
      <c r="A283" s="278" t="s">
        <v>64</v>
      </c>
      <c r="B283" s="466" t="s">
        <v>485</v>
      </c>
      <c r="C283" s="304">
        <v>483570351</v>
      </c>
      <c r="D283"/>
      <c r="E283" s="607" t="s">
        <v>735</v>
      </c>
      <c r="F283" s="607"/>
      <c r="G283" s="607"/>
      <c r="H283"/>
      <c r="I283"/>
      <c r="J283"/>
      <c r="K283"/>
    </row>
    <row r="284" spans="1:11" ht="12.75">
      <c r="A284" s="278" t="s">
        <v>65</v>
      </c>
      <c r="B284" s="466"/>
      <c r="C284" s="304">
        <v>0</v>
      </c>
      <c r="D284"/>
      <c r="E284" s="608"/>
      <c r="F284" s="607"/>
      <c r="G284" s="607"/>
      <c r="H284"/>
      <c r="I284"/>
      <c r="J284"/>
      <c r="K284"/>
    </row>
    <row r="285" spans="1:11" ht="14.25">
      <c r="A285" s="280">
        <v>2020199</v>
      </c>
      <c r="B285" s="452" t="s">
        <v>602</v>
      </c>
      <c r="C285" s="303">
        <v>0</v>
      </c>
      <c r="D285"/>
      <c r="E285" s="608"/>
      <c r="F285" s="607"/>
      <c r="G285" s="607"/>
      <c r="H285"/>
      <c r="I285"/>
      <c r="J285"/>
      <c r="K285"/>
    </row>
    <row r="286" spans="1:12" s="228" customFormat="1" ht="7.5" customHeight="1">
      <c r="A286" s="268"/>
      <c r="B286" s="448"/>
      <c r="C286" s="269"/>
      <c r="D286"/>
      <c r="E286" s="608"/>
      <c r="F286" s="607"/>
      <c r="G286" s="607"/>
      <c r="H286"/>
      <c r="I286"/>
      <c r="J286"/>
      <c r="K286"/>
      <c r="L286" s="221"/>
    </row>
    <row r="287" spans="1:11" s="300" customFormat="1" ht="15">
      <c r="A287" s="274">
        <v>2020200</v>
      </c>
      <c r="B287" s="465" t="s">
        <v>52</v>
      </c>
      <c r="C287" s="299">
        <f>SUM(C288:C289)+C301</f>
        <v>1103968912</v>
      </c>
      <c r="D287"/>
      <c r="E287" s="608"/>
      <c r="F287" s="607"/>
      <c r="G287" s="607"/>
      <c r="H287"/>
      <c r="I287"/>
      <c r="J287"/>
      <c r="K287"/>
    </row>
    <row r="288" spans="1:11" ht="14.25">
      <c r="A288" s="275">
        <v>2020201</v>
      </c>
      <c r="B288" s="449" t="s">
        <v>62</v>
      </c>
      <c r="C288" s="303">
        <v>863868912</v>
      </c>
      <c r="D288"/>
      <c r="E288" s="608" t="s">
        <v>737</v>
      </c>
      <c r="F288" s="607"/>
      <c r="G288" s="607"/>
      <c r="H288"/>
      <c r="I288"/>
      <c r="J288"/>
      <c r="K288"/>
    </row>
    <row r="289" spans="1:11" ht="14.25">
      <c r="A289" s="275">
        <v>2020202</v>
      </c>
      <c r="B289" s="449" t="s">
        <v>36</v>
      </c>
      <c r="C289" s="305">
        <f>SUM(C290:C300)</f>
        <v>240100000</v>
      </c>
      <c r="D289"/>
      <c r="E289" s="608"/>
      <c r="F289" s="607"/>
      <c r="G289" s="607"/>
      <c r="H289"/>
      <c r="I289"/>
      <c r="J289"/>
      <c r="K289"/>
    </row>
    <row r="290" spans="1:11" ht="12.75">
      <c r="A290" s="278" t="s">
        <v>167</v>
      </c>
      <c r="B290" s="466" t="s">
        <v>53</v>
      </c>
      <c r="C290" s="304">
        <v>0</v>
      </c>
      <c r="D290"/>
      <c r="E290" s="608"/>
      <c r="F290" s="607"/>
      <c r="G290" s="607"/>
      <c r="H290"/>
      <c r="I290"/>
      <c r="J290"/>
      <c r="K290"/>
    </row>
    <row r="291" spans="1:11" ht="12.75">
      <c r="A291" s="278" t="s">
        <v>148</v>
      </c>
      <c r="B291" s="466" t="s">
        <v>54</v>
      </c>
      <c r="C291" s="304">
        <v>0</v>
      </c>
      <c r="D291"/>
      <c r="E291" s="608"/>
      <c r="F291" s="608"/>
      <c r="G291" s="607"/>
      <c r="H291"/>
      <c r="I291"/>
      <c r="J291"/>
      <c r="K291"/>
    </row>
    <row r="292" spans="1:11" ht="12.75">
      <c r="A292" s="278" t="s">
        <v>169</v>
      </c>
      <c r="B292" s="466" t="s">
        <v>543</v>
      </c>
      <c r="C292" s="304">
        <v>0</v>
      </c>
      <c r="D292"/>
      <c r="E292" s="608"/>
      <c r="F292" s="607"/>
      <c r="G292" s="607"/>
      <c r="H292"/>
      <c r="I292"/>
      <c r="J292"/>
      <c r="K292"/>
    </row>
    <row r="293" spans="1:11" ht="12.75">
      <c r="A293" s="278" t="s">
        <v>149</v>
      </c>
      <c r="B293" s="466" t="s">
        <v>56</v>
      </c>
      <c r="C293" s="304">
        <v>0</v>
      </c>
      <c r="D293"/>
      <c r="E293" s="608"/>
      <c r="F293" s="607"/>
      <c r="G293" s="607"/>
      <c r="H293"/>
      <c r="I293"/>
      <c r="J293"/>
      <c r="K293"/>
    </row>
    <row r="294" spans="1:11" ht="12.75">
      <c r="A294" s="278" t="s">
        <v>150</v>
      </c>
      <c r="B294" s="466" t="s">
        <v>57</v>
      </c>
      <c r="C294" s="304">
        <v>0</v>
      </c>
      <c r="D294"/>
      <c r="E294" s="608"/>
      <c r="F294" s="607"/>
      <c r="G294" s="607"/>
      <c r="H294"/>
      <c r="I294"/>
      <c r="J294"/>
      <c r="K294"/>
    </row>
    <row r="295" spans="1:11" ht="12.75">
      <c r="A295" s="278" t="s">
        <v>168</v>
      </c>
      <c r="B295" s="468" t="s">
        <v>539</v>
      </c>
      <c r="C295" s="304">
        <v>240100000</v>
      </c>
      <c r="D295"/>
      <c r="E295" s="607" t="s">
        <v>739</v>
      </c>
      <c r="F295" s="607"/>
      <c r="G295" s="607"/>
      <c r="H295"/>
      <c r="I295"/>
      <c r="J295"/>
      <c r="K295"/>
    </row>
    <row r="296" spans="1:11" ht="12.75">
      <c r="A296" s="278" t="s">
        <v>170</v>
      </c>
      <c r="B296" s="468" t="s">
        <v>528</v>
      </c>
      <c r="C296" s="304">
        <v>0</v>
      </c>
      <c r="D296"/>
      <c r="E296" s="608"/>
      <c r="F296" s="607"/>
      <c r="G296" s="607"/>
      <c r="H296"/>
      <c r="I296"/>
      <c r="J296"/>
      <c r="K296"/>
    </row>
    <row r="297" spans="1:11" ht="12.75">
      <c r="A297" s="278" t="s">
        <v>171</v>
      </c>
      <c r="B297" s="468" t="s">
        <v>529</v>
      </c>
      <c r="C297" s="304">
        <v>0</v>
      </c>
      <c r="D297"/>
      <c r="E297" s="608"/>
      <c r="F297" s="607"/>
      <c r="G297" s="607"/>
      <c r="H297"/>
      <c r="I297"/>
      <c r="J297"/>
      <c r="K297"/>
    </row>
    <row r="298" spans="1:12" s="241" customFormat="1" ht="12.75">
      <c r="A298" s="278" t="s">
        <v>172</v>
      </c>
      <c r="B298" s="469" t="s">
        <v>58</v>
      </c>
      <c r="C298" s="304">
        <v>0</v>
      </c>
      <c r="D298"/>
      <c r="E298" s="608"/>
      <c r="F298" s="607"/>
      <c r="G298" s="607"/>
      <c r="H298"/>
      <c r="I298"/>
      <c r="J298"/>
      <c r="K298"/>
      <c r="L298" s="221"/>
    </row>
    <row r="299" spans="1:12" s="241" customFormat="1" ht="12.75">
      <c r="A299" s="278" t="s">
        <v>544</v>
      </c>
      <c r="B299" s="469" t="s">
        <v>545</v>
      </c>
      <c r="C299" s="304">
        <v>0</v>
      </c>
      <c r="D299"/>
      <c r="E299" s="607"/>
      <c r="F299" s="607"/>
      <c r="G299" s="607"/>
      <c r="H299"/>
      <c r="I299"/>
      <c r="J299"/>
      <c r="K299"/>
      <c r="L299" s="221"/>
    </row>
    <row r="300" spans="1:12" s="241" customFormat="1" ht="12.75">
      <c r="A300" s="278" t="s">
        <v>631</v>
      </c>
      <c r="B300" s="469"/>
      <c r="C300" s="304">
        <v>0</v>
      </c>
      <c r="D300"/>
      <c r="E300" s="607"/>
      <c r="F300" s="607"/>
      <c r="G300" s="607"/>
      <c r="H300"/>
      <c r="I300"/>
      <c r="J300"/>
      <c r="K300"/>
      <c r="L300" s="221"/>
    </row>
    <row r="301" spans="1:12" s="241" customFormat="1" ht="14.25">
      <c r="A301" s="280">
        <v>2020299</v>
      </c>
      <c r="B301" s="452" t="s">
        <v>602</v>
      </c>
      <c r="C301" s="304">
        <v>0</v>
      </c>
      <c r="D301"/>
      <c r="E301" s="607"/>
      <c r="F301" s="607"/>
      <c r="G301" s="607"/>
      <c r="H301"/>
      <c r="I301"/>
      <c r="J301"/>
      <c r="K301"/>
      <c r="L301" s="221"/>
    </row>
    <row r="302" spans="1:12" s="228" customFormat="1" ht="12" customHeight="1">
      <c r="A302" s="268"/>
      <c r="B302" s="448"/>
      <c r="C302" s="269"/>
      <c r="D302"/>
      <c r="E302" s="607"/>
      <c r="F302" s="607"/>
      <c r="G302" s="607"/>
      <c r="H302"/>
      <c r="I302"/>
      <c r="J302"/>
      <c r="K302"/>
      <c r="L302" s="221"/>
    </row>
    <row r="303" spans="1:12" s="248" customFormat="1" ht="16.5">
      <c r="A303" s="270">
        <v>3000000</v>
      </c>
      <c r="B303" s="464" t="s">
        <v>66</v>
      </c>
      <c r="C303" s="271">
        <f>C305+C309+C316</f>
        <v>349326788</v>
      </c>
      <c r="D303"/>
      <c r="E303" s="609"/>
      <c r="F303" s="607"/>
      <c r="G303" s="607"/>
      <c r="H303"/>
      <c r="I303"/>
      <c r="J303"/>
      <c r="K303"/>
      <c r="L303" s="247"/>
    </row>
    <row r="304" spans="1:11" ht="9.75" customHeight="1">
      <c r="A304" s="268"/>
      <c r="B304" s="448"/>
      <c r="C304" s="269"/>
      <c r="D304"/>
      <c r="E304" s="607"/>
      <c r="F304" s="607"/>
      <c r="G304" s="607"/>
      <c r="H304"/>
      <c r="I304"/>
      <c r="J304"/>
      <c r="K304"/>
    </row>
    <row r="305" spans="1:11" s="300" customFormat="1" ht="15">
      <c r="A305" s="274">
        <v>3100000</v>
      </c>
      <c r="B305" s="465" t="s">
        <v>67</v>
      </c>
      <c r="C305" s="299">
        <f>SUM(C306:C307)</f>
        <v>70153000</v>
      </c>
      <c r="D305"/>
      <c r="E305" s="608"/>
      <c r="F305" s="607"/>
      <c r="G305" s="607"/>
      <c r="H305"/>
      <c r="I305"/>
      <c r="J305"/>
      <c r="K305"/>
    </row>
    <row r="306" spans="1:11" ht="14.25">
      <c r="A306" s="275">
        <v>3100003</v>
      </c>
      <c r="B306" s="449" t="s">
        <v>151</v>
      </c>
      <c r="C306" s="303">
        <v>70153000</v>
      </c>
      <c r="D306"/>
      <c r="E306" s="607" t="s">
        <v>748</v>
      </c>
      <c r="F306" s="607"/>
      <c r="G306" s="607"/>
      <c r="H306"/>
      <c r="I306"/>
      <c r="J306"/>
      <c r="K306"/>
    </row>
    <row r="307" spans="1:11" ht="14.25">
      <c r="A307" s="280">
        <v>3199999</v>
      </c>
      <c r="B307" s="452" t="s">
        <v>602</v>
      </c>
      <c r="C307" s="303">
        <v>0</v>
      </c>
      <c r="D307"/>
      <c r="E307" s="607"/>
      <c r="F307" s="607"/>
      <c r="G307" s="607"/>
      <c r="H307"/>
      <c r="I307"/>
      <c r="J307"/>
      <c r="K307"/>
    </row>
    <row r="308" spans="1:12" s="228" customFormat="1" ht="7.5" customHeight="1">
      <c r="A308" s="268"/>
      <c r="B308" s="448"/>
      <c r="C308" s="269"/>
      <c r="D308"/>
      <c r="E308" s="607"/>
      <c r="F308" s="607"/>
      <c r="G308" s="607"/>
      <c r="H308"/>
      <c r="I308"/>
      <c r="J308"/>
      <c r="K308"/>
      <c r="L308" s="221"/>
    </row>
    <row r="309" spans="1:11" s="300" customFormat="1" ht="15">
      <c r="A309" s="274">
        <v>320000</v>
      </c>
      <c r="B309" s="465" t="s">
        <v>68</v>
      </c>
      <c r="C309" s="299">
        <f>SUM(C310:C314)</f>
        <v>37424783</v>
      </c>
      <c r="D309"/>
      <c r="E309" s="607"/>
      <c r="F309" s="607"/>
      <c r="G309" s="607"/>
      <c r="H309"/>
      <c r="I309"/>
      <c r="J309"/>
      <c r="K309"/>
    </row>
    <row r="310" spans="1:11" ht="14.25">
      <c r="A310" s="275">
        <v>3200100</v>
      </c>
      <c r="B310" s="449" t="s">
        <v>69</v>
      </c>
      <c r="C310" s="276">
        <f>ROUND((Jubilados!I65),0)</f>
        <v>8085322</v>
      </c>
      <c r="D310"/>
      <c r="E310" s="607" t="s">
        <v>741</v>
      </c>
      <c r="F310" s="607"/>
      <c r="G310" s="607"/>
      <c r="H310"/>
      <c r="I310"/>
      <c r="J310"/>
      <c r="K310"/>
    </row>
    <row r="311" spans="1:11" ht="14.25">
      <c r="A311" s="275">
        <v>3200200</v>
      </c>
      <c r="B311" s="449" t="s">
        <v>152</v>
      </c>
      <c r="C311" s="303">
        <v>0</v>
      </c>
      <c r="D311"/>
      <c r="E311" s="607"/>
      <c r="F311" s="607"/>
      <c r="G311" s="607"/>
      <c r="H311"/>
      <c r="I311"/>
      <c r="J311"/>
      <c r="K311"/>
    </row>
    <row r="312" spans="1:11" ht="14.25">
      <c r="A312" s="275">
        <v>3200300</v>
      </c>
      <c r="B312" s="467" t="s">
        <v>540</v>
      </c>
      <c r="C312" s="303">
        <v>6025000</v>
      </c>
      <c r="D312"/>
      <c r="E312" s="607" t="s">
        <v>742</v>
      </c>
      <c r="F312" s="607"/>
      <c r="G312" s="607"/>
      <c r="H312"/>
      <c r="I312"/>
      <c r="J312"/>
      <c r="K312"/>
    </row>
    <row r="313" spans="1:11" ht="14.25">
      <c r="A313" s="275">
        <v>3200400</v>
      </c>
      <c r="B313" s="449" t="s">
        <v>70</v>
      </c>
      <c r="C313" s="276">
        <f>ROUND(('Cálculos seguridad social'!D34*12%*'Información general'!F27),0)</f>
        <v>23314461</v>
      </c>
      <c r="D313"/>
      <c r="E313" s="607" t="s">
        <v>747</v>
      </c>
      <c r="F313" s="607"/>
      <c r="G313" s="607"/>
      <c r="H313"/>
      <c r="I313"/>
      <c r="J313"/>
      <c r="K313"/>
    </row>
    <row r="314" spans="1:11" ht="14.25">
      <c r="A314" s="280">
        <v>3299999</v>
      </c>
      <c r="B314" s="452" t="s">
        <v>602</v>
      </c>
      <c r="C314" s="303">
        <v>0</v>
      </c>
      <c r="D314"/>
      <c r="E314" s="607"/>
      <c r="F314" s="607"/>
      <c r="G314" s="607"/>
      <c r="H314"/>
      <c r="I314"/>
      <c r="J314"/>
      <c r="K314"/>
    </row>
    <row r="315" spans="1:12" s="228" customFormat="1" ht="7.5" customHeight="1">
      <c r="A315" s="268"/>
      <c r="B315" s="448"/>
      <c r="C315" s="269"/>
      <c r="D315"/>
      <c r="E315" s="607"/>
      <c r="F315" s="607"/>
      <c r="G315" s="607"/>
      <c r="H315"/>
      <c r="I315"/>
      <c r="J315"/>
      <c r="K315"/>
      <c r="L315" s="221"/>
    </row>
    <row r="316" spans="1:11" s="300" customFormat="1" ht="15">
      <c r="A316" s="274">
        <v>3300000</v>
      </c>
      <c r="B316" s="465" t="s">
        <v>71</v>
      </c>
      <c r="C316" s="299">
        <f>+SUM(C317:C318)+C322</f>
        <v>241749005</v>
      </c>
      <c r="D316"/>
      <c r="E316" s="607"/>
      <c r="F316" s="607"/>
      <c r="G316" s="607"/>
      <c r="H316"/>
      <c r="I316"/>
      <c r="J316"/>
      <c r="K316"/>
    </row>
    <row r="317" spans="1:11" ht="14.25">
      <c r="A317" s="275">
        <v>3300100</v>
      </c>
      <c r="B317" s="449" t="s">
        <v>72</v>
      </c>
      <c r="C317" s="303">
        <v>234699005</v>
      </c>
      <c r="D317"/>
      <c r="E317" s="607" t="s">
        <v>743</v>
      </c>
      <c r="F317" s="607"/>
      <c r="G317" s="607"/>
      <c r="H317"/>
      <c r="I317"/>
      <c r="J317"/>
      <c r="K317"/>
    </row>
    <row r="318" spans="1:11" ht="14.25">
      <c r="A318" s="275">
        <v>3300200</v>
      </c>
      <c r="B318" s="449" t="s">
        <v>73</v>
      </c>
      <c r="C318" s="276">
        <f>SUM(C319:C321)</f>
        <v>7050000</v>
      </c>
      <c r="D318"/>
      <c r="E318" s="607" t="s">
        <v>740</v>
      </c>
      <c r="F318" s="607"/>
      <c r="G318" s="607"/>
      <c r="H318"/>
      <c r="I318"/>
      <c r="J318"/>
      <c r="K318"/>
    </row>
    <row r="319" spans="1:11" ht="12.75">
      <c r="A319" s="278" t="s">
        <v>486</v>
      </c>
      <c r="B319" s="466" t="s">
        <v>521</v>
      </c>
      <c r="C319" s="304">
        <v>3800000</v>
      </c>
      <c r="D319"/>
      <c r="E319" s="607"/>
      <c r="F319" s="607"/>
      <c r="G319" s="607"/>
      <c r="H319"/>
      <c r="I319"/>
      <c r="J319"/>
      <c r="K319"/>
    </row>
    <row r="320" spans="1:11" ht="12.75">
      <c r="A320" s="278" t="s">
        <v>487</v>
      </c>
      <c r="B320" s="466" t="s">
        <v>522</v>
      </c>
      <c r="C320" s="304">
        <v>3250000</v>
      </c>
      <c r="D320"/>
      <c r="E320" s="607"/>
      <c r="F320" s="607"/>
      <c r="G320" s="607"/>
      <c r="H320"/>
      <c r="I320"/>
      <c r="J320"/>
      <c r="K320"/>
    </row>
    <row r="321" spans="1:11" ht="12.75">
      <c r="A321" s="278" t="s">
        <v>488</v>
      </c>
      <c r="B321" s="466" t="s">
        <v>523</v>
      </c>
      <c r="C321" s="304">
        <v>0</v>
      </c>
      <c r="D321"/>
      <c r="E321" s="607"/>
      <c r="F321" s="607"/>
      <c r="G321" s="607"/>
      <c r="H321"/>
      <c r="I321"/>
      <c r="J321"/>
      <c r="K321"/>
    </row>
    <row r="322" spans="1:11" ht="14.25">
      <c r="A322" s="280">
        <v>3399999</v>
      </c>
      <c r="B322" s="452" t="s">
        <v>602</v>
      </c>
      <c r="C322" s="303">
        <v>0</v>
      </c>
      <c r="D322"/>
      <c r="E322" s="607"/>
      <c r="F322" s="607"/>
      <c r="G322" s="607"/>
      <c r="H322"/>
      <c r="I322"/>
      <c r="J322"/>
      <c r="K322"/>
    </row>
    <row r="323" spans="1:12" s="228" customFormat="1" ht="12" customHeight="1" thickBot="1">
      <c r="A323" s="268"/>
      <c r="B323" s="448"/>
      <c r="C323" s="269"/>
      <c r="D323"/>
      <c r="E323" s="607"/>
      <c r="F323" s="607"/>
      <c r="G323" s="607"/>
      <c r="H323"/>
      <c r="I323"/>
      <c r="J323"/>
      <c r="K323"/>
      <c r="L323" s="221"/>
    </row>
    <row r="324" spans="1:12" s="228" customFormat="1" ht="29.25" customHeight="1">
      <c r="A324" s="266" t="s">
        <v>78</v>
      </c>
      <c r="B324" s="447" t="s">
        <v>601</v>
      </c>
      <c r="C324" s="267">
        <f>C326+C343</f>
        <v>11712099059</v>
      </c>
      <c r="D324"/>
      <c r="E324" s="607"/>
      <c r="F324" s="607"/>
      <c r="G324" s="607"/>
      <c r="H324"/>
      <c r="I324"/>
      <c r="J324"/>
      <c r="K324"/>
      <c r="L324" s="221"/>
    </row>
    <row r="325" spans="1:12" s="228" customFormat="1" ht="12" customHeight="1">
      <c r="A325" s="268"/>
      <c r="B325" s="448"/>
      <c r="C325" s="269"/>
      <c r="D325"/>
      <c r="E325" s="607"/>
      <c r="F325" s="607"/>
      <c r="G325" s="607"/>
      <c r="H325"/>
      <c r="I325"/>
      <c r="J325"/>
      <c r="K325"/>
      <c r="L325" s="221"/>
    </row>
    <row r="326" spans="1:12" s="248" customFormat="1" ht="16.5">
      <c r="A326" s="270">
        <v>4000000</v>
      </c>
      <c r="B326" s="464" t="s">
        <v>74</v>
      </c>
      <c r="C326" s="271">
        <f>C328</f>
        <v>11712099059</v>
      </c>
      <c r="D326"/>
      <c r="E326" s="609"/>
      <c r="F326" s="607"/>
      <c r="G326" s="607"/>
      <c r="H326"/>
      <c r="I326"/>
      <c r="J326"/>
      <c r="K326"/>
      <c r="L326" s="247"/>
    </row>
    <row r="327" spans="1:11" ht="9.75" customHeight="1">
      <c r="A327" s="268"/>
      <c r="B327" s="448"/>
      <c r="C327" s="269"/>
      <c r="D327"/>
      <c r="E327" s="607"/>
      <c r="F327" s="607"/>
      <c r="G327" s="607"/>
      <c r="H327"/>
      <c r="I327"/>
      <c r="J327"/>
      <c r="K327"/>
    </row>
    <row r="328" spans="1:11" s="300" customFormat="1" ht="15">
      <c r="A328" s="274">
        <v>4100000</v>
      </c>
      <c r="B328" s="465" t="s">
        <v>75</v>
      </c>
      <c r="C328" s="299">
        <f>C329+C337+C341</f>
        <v>11712099059</v>
      </c>
      <c r="D328"/>
      <c r="E328" s="611"/>
      <c r="F328" s="607"/>
      <c r="G328" s="607"/>
      <c r="H328"/>
      <c r="I328"/>
      <c r="J328"/>
      <c r="K328"/>
    </row>
    <row r="329" spans="1:11" ht="14.25">
      <c r="A329" s="275">
        <v>4100100</v>
      </c>
      <c r="B329" s="449" t="s">
        <v>76</v>
      </c>
      <c r="C329" s="276">
        <f>SUM(C330:C336)</f>
        <v>10209557059</v>
      </c>
      <c r="D329"/>
      <c r="E329" s="607"/>
      <c r="F329" s="607"/>
      <c r="G329" s="607"/>
      <c r="H329"/>
      <c r="I329"/>
      <c r="J329"/>
      <c r="K329"/>
    </row>
    <row r="330" spans="1:12" s="222" customFormat="1" ht="12.75">
      <c r="A330" s="278" t="s">
        <v>489</v>
      </c>
      <c r="B330" s="466" t="s">
        <v>515</v>
      </c>
      <c r="C330" s="304">
        <v>4100005100</v>
      </c>
      <c r="D330"/>
      <c r="E330" s="607" t="s">
        <v>744</v>
      </c>
      <c r="F330" s="607"/>
      <c r="G330" s="607"/>
      <c r="H330"/>
      <c r="I330"/>
      <c r="J330"/>
      <c r="K330"/>
      <c r="L330" s="221"/>
    </row>
    <row r="331" spans="1:12" s="222" customFormat="1" ht="12.75">
      <c r="A331" s="278" t="s">
        <v>490</v>
      </c>
      <c r="B331" s="466" t="s">
        <v>516</v>
      </c>
      <c r="C331" s="304">
        <v>3873000690</v>
      </c>
      <c r="D331"/>
      <c r="E331" s="607" t="s">
        <v>744</v>
      </c>
      <c r="F331" s="608"/>
      <c r="G331" s="607"/>
      <c r="H331"/>
      <c r="I331"/>
      <c r="J331"/>
      <c r="K331"/>
      <c r="L331" s="221"/>
    </row>
    <row r="332" spans="1:12" s="222" customFormat="1" ht="12.75">
      <c r="A332" s="278" t="s">
        <v>491</v>
      </c>
      <c r="B332" s="466" t="s">
        <v>517</v>
      </c>
      <c r="C332" s="304">
        <v>1602100050</v>
      </c>
      <c r="D332"/>
      <c r="E332" s="607" t="s">
        <v>744</v>
      </c>
      <c r="F332" s="607"/>
      <c r="G332" s="607"/>
      <c r="H332"/>
      <c r="I332"/>
      <c r="J332"/>
      <c r="K332"/>
      <c r="L332" s="221"/>
    </row>
    <row r="333" spans="1:12" s="222" customFormat="1" ht="12.75">
      <c r="A333" s="278" t="s">
        <v>492</v>
      </c>
      <c r="B333" s="466" t="s">
        <v>518</v>
      </c>
      <c r="C333" s="304">
        <v>0</v>
      </c>
      <c r="D333"/>
      <c r="E333" s="607"/>
      <c r="F333" s="607"/>
      <c r="G333" s="607"/>
      <c r="H333"/>
      <c r="I333"/>
      <c r="J333"/>
      <c r="K333"/>
      <c r="L333" s="221"/>
    </row>
    <row r="334" spans="1:12" s="222" customFormat="1" ht="12.75">
      <c r="A334" s="278" t="s">
        <v>493</v>
      </c>
      <c r="B334" s="466" t="s">
        <v>519</v>
      </c>
      <c r="C334" s="304">
        <v>634451219</v>
      </c>
      <c r="D334"/>
      <c r="E334" s="607" t="s">
        <v>746</v>
      </c>
      <c r="F334" s="607"/>
      <c r="G334" s="607"/>
      <c r="H334"/>
      <c r="I334"/>
      <c r="J334"/>
      <c r="K334"/>
      <c r="L334" s="221"/>
    </row>
    <row r="335" spans="1:12" s="222" customFormat="1" ht="12.75">
      <c r="A335" s="278" t="s">
        <v>598</v>
      </c>
      <c r="B335" s="466"/>
      <c r="C335" s="304">
        <v>0</v>
      </c>
      <c r="D335"/>
      <c r="E335" s="607"/>
      <c r="F335" s="607"/>
      <c r="G335" s="607"/>
      <c r="H335"/>
      <c r="I335"/>
      <c r="J335"/>
      <c r="K335"/>
      <c r="L335" s="221"/>
    </row>
    <row r="336" spans="1:12" s="222" customFormat="1" ht="12.75">
      <c r="A336" s="278" t="s">
        <v>599</v>
      </c>
      <c r="B336" s="466"/>
      <c r="C336" s="304">
        <v>0</v>
      </c>
      <c r="D336"/>
      <c r="E336" s="607"/>
      <c r="F336" s="607"/>
      <c r="G336" s="607"/>
      <c r="H336"/>
      <c r="I336"/>
      <c r="J336"/>
      <c r="K336"/>
      <c r="L336" s="221"/>
    </row>
    <row r="337" spans="1:12" s="222" customFormat="1" ht="14.25">
      <c r="A337" s="275">
        <v>4100200</v>
      </c>
      <c r="B337" s="449" t="s">
        <v>77</v>
      </c>
      <c r="C337" s="276">
        <f>SUM(C338:C340)</f>
        <v>1502542000</v>
      </c>
      <c r="D337"/>
      <c r="E337" s="607" t="s">
        <v>745</v>
      </c>
      <c r="F337" s="607"/>
      <c r="G337" s="607"/>
      <c r="H337"/>
      <c r="I337"/>
      <c r="J337"/>
      <c r="K337"/>
      <c r="L337" s="221"/>
    </row>
    <row r="338" spans="1:12" s="222" customFormat="1" ht="12.75">
      <c r="A338" s="278" t="s">
        <v>494</v>
      </c>
      <c r="B338" s="466" t="s">
        <v>495</v>
      </c>
      <c r="C338" s="304">
        <v>1502542000</v>
      </c>
      <c r="D338"/>
      <c r="E338" s="607"/>
      <c r="F338" s="607"/>
      <c r="G338" s="607"/>
      <c r="H338"/>
      <c r="I338"/>
      <c r="J338"/>
      <c r="K338"/>
      <c r="L338" s="221"/>
    </row>
    <row r="339" spans="1:12" s="222" customFormat="1" ht="12.75">
      <c r="A339" s="278" t="s">
        <v>594</v>
      </c>
      <c r="B339" s="466"/>
      <c r="C339" s="304">
        <v>0</v>
      </c>
      <c r="D339"/>
      <c r="E339" s="607"/>
      <c r="F339" s="607"/>
      <c r="G339" s="607"/>
      <c r="H339"/>
      <c r="I339"/>
      <c r="J339"/>
      <c r="K339"/>
      <c r="L339" s="221"/>
    </row>
    <row r="340" spans="1:12" s="222" customFormat="1" ht="12.75">
      <c r="A340" s="278" t="s">
        <v>595</v>
      </c>
      <c r="B340" s="466"/>
      <c r="C340" s="304">
        <v>0</v>
      </c>
      <c r="D340"/>
      <c r="E340" s="607"/>
      <c r="F340" s="607"/>
      <c r="G340" s="607"/>
      <c r="H340"/>
      <c r="I340"/>
      <c r="J340"/>
      <c r="K340"/>
      <c r="L340" s="221"/>
    </row>
    <row r="341" spans="1:12" s="222" customFormat="1" ht="14.25">
      <c r="A341" s="280">
        <v>4199999</v>
      </c>
      <c r="B341" s="452" t="s">
        <v>602</v>
      </c>
      <c r="C341" s="303">
        <v>0</v>
      </c>
      <c r="D341"/>
      <c r="E341" s="607"/>
      <c r="F341" s="607"/>
      <c r="G341" s="607"/>
      <c r="H341"/>
      <c r="I341"/>
      <c r="J341"/>
      <c r="K341"/>
      <c r="L341" s="221"/>
    </row>
    <row r="342" spans="1:11" s="222" customFormat="1" ht="15" customHeight="1" thickBot="1">
      <c r="A342" s="264"/>
      <c r="B342" s="446"/>
      <c r="C342" s="265"/>
      <c r="D342"/>
      <c r="E342" s="607"/>
      <c r="F342" s="607"/>
      <c r="G342" s="607"/>
      <c r="H342"/>
      <c r="I342"/>
      <c r="J342"/>
      <c r="K342"/>
    </row>
    <row r="343" spans="1:12" s="228" customFormat="1" ht="15.75">
      <c r="A343" s="272">
        <v>5000000</v>
      </c>
      <c r="B343" s="450" t="s">
        <v>404</v>
      </c>
      <c r="C343" s="273">
        <f>C345</f>
        <v>0</v>
      </c>
      <c r="D343"/>
      <c r="E343" s="607"/>
      <c r="F343" s="607"/>
      <c r="G343" s="607"/>
      <c r="H343"/>
      <c r="I343"/>
      <c r="J343"/>
      <c r="K343"/>
      <c r="L343" s="221"/>
    </row>
    <row r="344" spans="1:12" s="228" customFormat="1" ht="7.5" customHeight="1">
      <c r="A344" s="268"/>
      <c r="B344" s="448"/>
      <c r="C344" s="269"/>
      <c r="D344"/>
      <c r="E344" s="607"/>
      <c r="F344" s="607"/>
      <c r="G344" s="607"/>
      <c r="H344"/>
      <c r="I344"/>
      <c r="J344"/>
      <c r="K344"/>
      <c r="L344" s="221"/>
    </row>
    <row r="345" spans="1:11" s="300" customFormat="1" ht="15">
      <c r="A345" s="274">
        <v>5100000</v>
      </c>
      <c r="B345" s="465" t="s">
        <v>79</v>
      </c>
      <c r="C345" s="299">
        <f>C346+C355</f>
        <v>0</v>
      </c>
      <c r="D345"/>
      <c r="E345" s="607"/>
      <c r="F345" s="607"/>
      <c r="G345" s="607"/>
      <c r="H345"/>
      <c r="I345"/>
      <c r="J345"/>
      <c r="K345"/>
    </row>
    <row r="346" spans="1:11" ht="14.25">
      <c r="A346" s="275">
        <v>5100100</v>
      </c>
      <c r="B346" s="449" t="s">
        <v>80</v>
      </c>
      <c r="C346" s="276">
        <f>SUM(C347:C354)</f>
        <v>0</v>
      </c>
      <c r="D346"/>
      <c r="E346" s="607"/>
      <c r="F346" s="607"/>
      <c r="G346" s="607"/>
      <c r="H346"/>
      <c r="I346"/>
      <c r="J346"/>
      <c r="K346"/>
    </row>
    <row r="347" spans="1:12" s="222" customFormat="1" ht="12.75">
      <c r="A347" s="278" t="s">
        <v>496</v>
      </c>
      <c r="B347" s="466" t="s">
        <v>515</v>
      </c>
      <c r="C347" s="304">
        <v>0</v>
      </c>
      <c r="D347"/>
      <c r="E347" s="607"/>
      <c r="F347" s="607"/>
      <c r="G347" s="607"/>
      <c r="H347"/>
      <c r="I347"/>
      <c r="J347"/>
      <c r="K347"/>
      <c r="L347" s="221"/>
    </row>
    <row r="348" spans="1:12" s="222" customFormat="1" ht="12.75">
      <c r="A348" s="278" t="s">
        <v>497</v>
      </c>
      <c r="B348" s="466" t="s">
        <v>516</v>
      </c>
      <c r="C348" s="304">
        <v>0</v>
      </c>
      <c r="D348"/>
      <c r="E348" s="607"/>
      <c r="F348" s="607"/>
      <c r="G348" s="607"/>
      <c r="H348"/>
      <c r="I348"/>
      <c r="J348"/>
      <c r="K348"/>
      <c r="L348" s="221"/>
    </row>
    <row r="349" spans="1:12" s="222" customFormat="1" ht="12.75">
      <c r="A349" s="278" t="s">
        <v>498</v>
      </c>
      <c r="B349" s="466" t="s">
        <v>517</v>
      </c>
      <c r="C349" s="304">
        <v>0</v>
      </c>
      <c r="D349"/>
      <c r="E349" s="607"/>
      <c r="F349" s="607"/>
      <c r="G349" s="607"/>
      <c r="H349"/>
      <c r="I349"/>
      <c r="J349"/>
      <c r="K349"/>
      <c r="L349" s="221"/>
    </row>
    <row r="350" spans="1:12" s="222" customFormat="1" ht="12.75">
      <c r="A350" s="278" t="s">
        <v>499</v>
      </c>
      <c r="B350" s="466" t="s">
        <v>518</v>
      </c>
      <c r="C350" s="304">
        <v>0</v>
      </c>
      <c r="D350"/>
      <c r="E350" s="607"/>
      <c r="F350" s="607"/>
      <c r="G350" s="607"/>
      <c r="H350"/>
      <c r="I350"/>
      <c r="J350"/>
      <c r="K350"/>
      <c r="L350" s="221"/>
    </row>
    <row r="351" spans="1:12" s="222" customFormat="1" ht="12.75">
      <c r="A351" s="278" t="s">
        <v>500</v>
      </c>
      <c r="B351" s="466" t="s">
        <v>519</v>
      </c>
      <c r="C351" s="304">
        <v>0</v>
      </c>
      <c r="D351"/>
      <c r="E351" s="607"/>
      <c r="F351" s="607"/>
      <c r="G351" s="607"/>
      <c r="H351"/>
      <c r="I351"/>
      <c r="J351"/>
      <c r="K351"/>
      <c r="L351" s="221"/>
    </row>
    <row r="352" spans="1:12" s="222" customFormat="1" ht="12.75">
      <c r="A352" s="278" t="s">
        <v>501</v>
      </c>
      <c r="B352" s="466" t="s">
        <v>520</v>
      </c>
      <c r="C352" s="304">
        <v>0</v>
      </c>
      <c r="D352"/>
      <c r="E352" s="607"/>
      <c r="F352" s="607"/>
      <c r="G352" s="607"/>
      <c r="H352"/>
      <c r="I352"/>
      <c r="J352"/>
      <c r="K352"/>
      <c r="L352" s="221"/>
    </row>
    <row r="353" spans="1:12" s="222" customFormat="1" ht="12.75">
      <c r="A353" s="278" t="s">
        <v>596</v>
      </c>
      <c r="B353" s="466"/>
      <c r="C353" s="304">
        <v>0</v>
      </c>
      <c r="D353"/>
      <c r="E353" s="607"/>
      <c r="F353" s="607"/>
      <c r="G353" s="607"/>
      <c r="H353"/>
      <c r="I353"/>
      <c r="J353"/>
      <c r="K353"/>
      <c r="L353" s="221"/>
    </row>
    <row r="354" spans="1:12" s="222" customFormat="1" ht="12.75">
      <c r="A354" s="278" t="s">
        <v>597</v>
      </c>
      <c r="B354" s="466"/>
      <c r="C354" s="304">
        <v>0</v>
      </c>
      <c r="D354"/>
      <c r="E354" s="607"/>
      <c r="F354" s="607"/>
      <c r="G354" s="607"/>
      <c r="H354"/>
      <c r="I354"/>
      <c r="J354"/>
      <c r="K354"/>
      <c r="L354" s="221"/>
    </row>
    <row r="355" spans="1:12" s="222" customFormat="1" ht="14.25">
      <c r="A355" s="280">
        <v>5199999</v>
      </c>
      <c r="B355" s="452" t="s">
        <v>602</v>
      </c>
      <c r="C355" s="303">
        <v>0</v>
      </c>
      <c r="D355"/>
      <c r="E355" s="607"/>
      <c r="F355" s="607"/>
      <c r="G355" s="607"/>
      <c r="H355"/>
      <c r="I355"/>
      <c r="J355"/>
      <c r="K355"/>
      <c r="L355" s="221"/>
    </row>
    <row r="356" spans="1:11" s="222" customFormat="1" ht="15" customHeight="1" thickBot="1">
      <c r="A356" s="264"/>
      <c r="B356" s="446"/>
      <c r="C356" s="265"/>
      <c r="D356"/>
      <c r="E356" s="607"/>
      <c r="F356" s="607"/>
      <c r="G356" s="607"/>
      <c r="H356"/>
      <c r="I356"/>
      <c r="J356"/>
      <c r="K356"/>
    </row>
    <row r="357" spans="1:11" ht="18">
      <c r="A357" s="266" t="s">
        <v>81</v>
      </c>
      <c r="B357" s="447" t="s">
        <v>82</v>
      </c>
      <c r="C357" s="267">
        <f>C359+C364</f>
        <v>0</v>
      </c>
      <c r="D357"/>
      <c r="E357" s="607"/>
      <c r="F357" s="607"/>
      <c r="G357" s="607"/>
      <c r="H357"/>
      <c r="I357"/>
      <c r="J357"/>
      <c r="K357"/>
    </row>
    <row r="358" spans="1:11" ht="9.75" customHeight="1">
      <c r="A358" s="268"/>
      <c r="B358" s="448"/>
      <c r="C358" s="269"/>
      <c r="D358"/>
      <c r="E358" s="607"/>
      <c r="F358" s="607"/>
      <c r="G358" s="607"/>
      <c r="H358"/>
      <c r="I358"/>
      <c r="J358"/>
      <c r="K358"/>
    </row>
    <row r="359" spans="1:12" s="228" customFormat="1" ht="15.75">
      <c r="A359" s="272">
        <v>7001000</v>
      </c>
      <c r="B359" s="450" t="s">
        <v>502</v>
      </c>
      <c r="C359" s="273">
        <f>SUM(C360:C362)</f>
        <v>0</v>
      </c>
      <c r="D359"/>
      <c r="E359" s="607"/>
      <c r="F359" s="607"/>
      <c r="G359" s="607"/>
      <c r="H359"/>
      <c r="I359"/>
      <c r="J359"/>
      <c r="K359"/>
      <c r="L359" s="221"/>
    </row>
    <row r="360" spans="1:11" ht="14.25">
      <c r="A360" s="275">
        <v>7001100</v>
      </c>
      <c r="B360" s="449" t="s">
        <v>83</v>
      </c>
      <c r="C360" s="303">
        <v>0</v>
      </c>
      <c r="D360"/>
      <c r="E360" s="607"/>
      <c r="F360" s="607"/>
      <c r="G360" s="607"/>
      <c r="H360"/>
      <c r="I360"/>
      <c r="J360"/>
      <c r="K360"/>
    </row>
    <row r="361" spans="1:11" ht="14.25">
      <c r="A361" s="275">
        <v>7001200</v>
      </c>
      <c r="B361" s="449" t="s">
        <v>84</v>
      </c>
      <c r="C361" s="303">
        <v>0</v>
      </c>
      <c r="D361"/>
      <c r="E361" s="607"/>
      <c r="F361" s="607"/>
      <c r="G361" s="607"/>
      <c r="H361"/>
      <c r="I361"/>
      <c r="J361"/>
      <c r="K361"/>
    </row>
    <row r="362" spans="1:12" s="222" customFormat="1" ht="14.25">
      <c r="A362" s="280">
        <v>7001999</v>
      </c>
      <c r="B362" s="452" t="s">
        <v>602</v>
      </c>
      <c r="C362" s="303">
        <v>0</v>
      </c>
      <c r="D362"/>
      <c r="E362" s="607"/>
      <c r="F362" s="607"/>
      <c r="G362" s="607"/>
      <c r="H362"/>
      <c r="I362"/>
      <c r="J362"/>
      <c r="K362"/>
      <c r="L362" s="221"/>
    </row>
    <row r="363" spans="1:12" s="228" customFormat="1" ht="7.5" customHeight="1">
      <c r="A363" s="268"/>
      <c r="B363" s="448"/>
      <c r="C363" s="269"/>
      <c r="D363"/>
      <c r="E363" s="607"/>
      <c r="F363" s="607"/>
      <c r="G363" s="607"/>
      <c r="H363"/>
      <c r="I363"/>
      <c r="J363"/>
      <c r="K363"/>
      <c r="L363" s="221"/>
    </row>
    <row r="364" spans="1:12" s="228" customFormat="1" ht="15.75">
      <c r="A364" s="272">
        <v>7002001</v>
      </c>
      <c r="B364" s="450" t="s">
        <v>503</v>
      </c>
      <c r="C364" s="273">
        <f>SUM(C365:C367)</f>
        <v>0</v>
      </c>
      <c r="D364"/>
      <c r="E364" s="607"/>
      <c r="F364" s="607"/>
      <c r="G364" s="607"/>
      <c r="H364"/>
      <c r="I364"/>
      <c r="J364"/>
      <c r="K364"/>
      <c r="L364" s="221"/>
    </row>
    <row r="365" spans="1:11" ht="14.25">
      <c r="A365" s="275">
        <v>7002100</v>
      </c>
      <c r="B365" s="449" t="s">
        <v>85</v>
      </c>
      <c r="C365" s="303">
        <v>0</v>
      </c>
      <c r="D365"/>
      <c r="E365" s="607"/>
      <c r="F365" s="607"/>
      <c r="G365" s="607"/>
      <c r="H365"/>
      <c r="I365"/>
      <c r="J365"/>
      <c r="K365"/>
    </row>
    <row r="366" spans="1:11" ht="14.25">
      <c r="A366" s="275">
        <v>7002200</v>
      </c>
      <c r="B366" s="449" t="s">
        <v>84</v>
      </c>
      <c r="C366" s="303">
        <v>0</v>
      </c>
      <c r="D366"/>
      <c r="E366" s="607"/>
      <c r="F366" s="607"/>
      <c r="G366" s="607"/>
      <c r="H366"/>
      <c r="I366"/>
      <c r="J366"/>
      <c r="K366"/>
    </row>
    <row r="367" spans="1:12" s="222" customFormat="1" ht="14.25">
      <c r="A367" s="280">
        <v>7002999</v>
      </c>
      <c r="B367" s="452" t="s">
        <v>602</v>
      </c>
      <c r="C367" s="303">
        <v>0</v>
      </c>
      <c r="D367"/>
      <c r="E367" s="607"/>
      <c r="F367" s="607"/>
      <c r="G367" s="607"/>
      <c r="H367"/>
      <c r="I367"/>
      <c r="J367"/>
      <c r="K367"/>
      <c r="L367" s="221"/>
    </row>
    <row r="368" spans="1:11" s="222" customFormat="1" ht="15" customHeight="1" thickBot="1">
      <c r="A368" s="264"/>
      <c r="B368" s="446"/>
      <c r="C368" s="265"/>
      <c r="D368"/>
      <c r="E368" s="607"/>
      <c r="F368" s="607"/>
      <c r="G368" s="607"/>
      <c r="H368"/>
      <c r="I368"/>
      <c r="J368"/>
      <c r="K368"/>
    </row>
    <row r="369" spans="1:11" ht="18">
      <c r="A369" s="266" t="s">
        <v>86</v>
      </c>
      <c r="B369" s="447" t="s">
        <v>87</v>
      </c>
      <c r="C369" s="267">
        <f>C371</f>
        <v>0</v>
      </c>
      <c r="D369"/>
      <c r="E369" s="607"/>
      <c r="F369" s="607"/>
      <c r="G369" s="607"/>
      <c r="H369"/>
      <c r="I369"/>
      <c r="J369"/>
      <c r="K369"/>
    </row>
    <row r="370" spans="1:11" ht="9.75" customHeight="1">
      <c r="A370" s="268"/>
      <c r="B370" s="448"/>
      <c r="C370" s="269"/>
      <c r="D370"/>
      <c r="E370" s="607"/>
      <c r="F370" s="607"/>
      <c r="G370" s="607"/>
      <c r="H370"/>
      <c r="I370"/>
      <c r="J370"/>
      <c r="K370"/>
    </row>
    <row r="371" spans="1:12" s="228" customFormat="1" ht="15.75">
      <c r="A371" s="272">
        <v>8000000</v>
      </c>
      <c r="B371" s="450" t="s">
        <v>384</v>
      </c>
      <c r="C371" s="273">
        <f>C373+C381</f>
        <v>0</v>
      </c>
      <c r="D371"/>
      <c r="E371" s="607"/>
      <c r="F371" s="607"/>
      <c r="G371" s="607"/>
      <c r="H371"/>
      <c r="I371"/>
      <c r="J371"/>
      <c r="K371"/>
      <c r="L371" s="221"/>
    </row>
    <row r="372" spans="1:12" s="228" customFormat="1" ht="7.5" customHeight="1">
      <c r="A372" s="268"/>
      <c r="B372" s="448"/>
      <c r="C372" s="269"/>
      <c r="D372"/>
      <c r="E372" s="607"/>
      <c r="F372" s="607"/>
      <c r="G372" s="607"/>
      <c r="H372"/>
      <c r="I372"/>
      <c r="J372"/>
      <c r="K372"/>
      <c r="L372" s="221"/>
    </row>
    <row r="373" spans="1:11" s="300" customFormat="1" ht="15">
      <c r="A373" s="274">
        <v>8001000</v>
      </c>
      <c r="B373" s="465" t="s">
        <v>88</v>
      </c>
      <c r="C373" s="299">
        <f>SUM(C374:C379)</f>
        <v>0</v>
      </c>
      <c r="D373"/>
      <c r="E373" s="607"/>
      <c r="F373" s="607"/>
      <c r="G373" s="607"/>
      <c r="H373"/>
      <c r="I373"/>
      <c r="J373"/>
      <c r="K373"/>
    </row>
    <row r="374" spans="1:11" ht="14.25">
      <c r="A374" s="275" t="s">
        <v>504</v>
      </c>
      <c r="B374" s="449" t="s">
        <v>158</v>
      </c>
      <c r="C374" s="303">
        <v>0</v>
      </c>
      <c r="D374"/>
      <c r="E374" s="607"/>
      <c r="F374" s="607"/>
      <c r="G374" s="607"/>
      <c r="H374"/>
      <c r="I374"/>
      <c r="J374"/>
      <c r="K374"/>
    </row>
    <row r="375" spans="1:11" ht="14.25">
      <c r="A375" s="275" t="s">
        <v>505</v>
      </c>
      <c r="B375" s="449" t="s">
        <v>159</v>
      </c>
      <c r="C375" s="303">
        <v>0</v>
      </c>
      <c r="D375"/>
      <c r="E375" s="608"/>
      <c r="F375" s="607"/>
      <c r="G375" s="607"/>
      <c r="H375"/>
      <c r="I375"/>
      <c r="J375"/>
      <c r="K375"/>
    </row>
    <row r="376" spans="1:11" ht="14.25">
      <c r="A376" s="275" t="s">
        <v>506</v>
      </c>
      <c r="B376" s="449" t="s">
        <v>160</v>
      </c>
      <c r="C376" s="303">
        <v>0</v>
      </c>
      <c r="D376"/>
      <c r="E376" s="608"/>
      <c r="F376" s="607"/>
      <c r="G376" s="607"/>
      <c r="H376"/>
      <c r="I376"/>
      <c r="J376"/>
      <c r="K376"/>
    </row>
    <row r="377" spans="1:11" ht="14.25">
      <c r="A377" s="275" t="s">
        <v>507</v>
      </c>
      <c r="B377" s="449" t="s">
        <v>161</v>
      </c>
      <c r="C377" s="303">
        <v>0</v>
      </c>
      <c r="D377"/>
      <c r="E377" s="607"/>
      <c r="F377" s="607"/>
      <c r="G377" s="607"/>
      <c r="H377"/>
      <c r="I377"/>
      <c r="J377"/>
      <c r="K377"/>
    </row>
    <row r="378" spans="1:11" ht="14.25">
      <c r="A378" s="275" t="s">
        <v>632</v>
      </c>
      <c r="B378" s="449" t="s">
        <v>162</v>
      </c>
      <c r="C378" s="303">
        <v>0</v>
      </c>
      <c r="D378"/>
      <c r="E378" s="607"/>
      <c r="F378" s="607"/>
      <c r="G378" s="607"/>
      <c r="H378"/>
      <c r="I378"/>
      <c r="J378"/>
      <c r="K378"/>
    </row>
    <row r="379" spans="1:11" ht="14.25">
      <c r="A379" s="280">
        <v>8001999</v>
      </c>
      <c r="B379" s="452" t="s">
        <v>602</v>
      </c>
      <c r="C379" s="303">
        <v>0</v>
      </c>
      <c r="D379"/>
      <c r="E379" s="608"/>
      <c r="F379" s="607"/>
      <c r="G379" s="607"/>
      <c r="H379"/>
      <c r="I379"/>
      <c r="J379"/>
      <c r="K379"/>
    </row>
    <row r="380" spans="1:12" s="228" customFormat="1" ht="7.5" customHeight="1">
      <c r="A380" s="268"/>
      <c r="B380" s="448"/>
      <c r="C380" s="269"/>
      <c r="D380"/>
      <c r="E380" s="607"/>
      <c r="F380" s="607"/>
      <c r="G380" s="607"/>
      <c r="H380"/>
      <c r="I380"/>
      <c r="J380"/>
      <c r="K380"/>
      <c r="L380" s="221"/>
    </row>
    <row r="381" spans="1:11" s="300" customFormat="1" ht="15">
      <c r="A381" s="274">
        <v>8002001</v>
      </c>
      <c r="B381" s="465" t="s">
        <v>89</v>
      </c>
      <c r="C381" s="299">
        <f>SUM(C382:C389)</f>
        <v>0</v>
      </c>
      <c r="D381"/>
      <c r="E381" s="607"/>
      <c r="F381" s="607"/>
      <c r="G381" s="607"/>
      <c r="H381"/>
      <c r="I381"/>
      <c r="J381"/>
      <c r="K381"/>
    </row>
    <row r="382" spans="1:11" ht="14.25">
      <c r="A382" s="275" t="s">
        <v>508</v>
      </c>
      <c r="B382" s="449" t="s">
        <v>90</v>
      </c>
      <c r="C382" s="276">
        <f>+ROUND(((C152+C200)*'Información general'!F18),0)*'Información general'!F20+C13</f>
        <v>0</v>
      </c>
      <c r="D382" s="388"/>
      <c r="E382" s="607"/>
      <c r="F382" s="607"/>
      <c r="G382" s="607"/>
      <c r="H382"/>
      <c r="I382"/>
      <c r="J382"/>
      <c r="K382"/>
    </row>
    <row r="383" spans="1:11" ht="14.25">
      <c r="A383" s="275" t="s">
        <v>509</v>
      </c>
      <c r="B383" s="449" t="s">
        <v>91</v>
      </c>
      <c r="C383" s="303">
        <v>0</v>
      </c>
      <c r="D383"/>
      <c r="E383" s="608"/>
      <c r="F383" s="607"/>
      <c r="G383" s="607"/>
      <c r="H383"/>
      <c r="I383"/>
      <c r="J383"/>
      <c r="K383"/>
    </row>
    <row r="384" spans="1:11" ht="14.25">
      <c r="A384" s="275" t="s">
        <v>510</v>
      </c>
      <c r="B384" s="449" t="s">
        <v>153</v>
      </c>
      <c r="C384" s="303">
        <v>0</v>
      </c>
      <c r="D384"/>
      <c r="E384" s="607"/>
      <c r="F384" s="607"/>
      <c r="G384" s="607"/>
      <c r="H384"/>
      <c r="I384"/>
      <c r="J384"/>
      <c r="K384"/>
    </row>
    <row r="385" spans="1:11" ht="14.25">
      <c r="A385" s="275" t="s">
        <v>511</v>
      </c>
      <c r="B385" s="449" t="s">
        <v>154</v>
      </c>
      <c r="C385" s="303">
        <v>0</v>
      </c>
      <c r="D385"/>
      <c r="E385" s="607"/>
      <c r="F385" s="607"/>
      <c r="G385" s="607"/>
      <c r="H385"/>
      <c r="I385"/>
      <c r="J385"/>
      <c r="K385"/>
    </row>
    <row r="386" spans="1:11" ht="14.25">
      <c r="A386" s="275" t="s">
        <v>512</v>
      </c>
      <c r="B386" s="449" t="s">
        <v>155</v>
      </c>
      <c r="C386" s="303">
        <v>0</v>
      </c>
      <c r="D386"/>
      <c r="E386" s="607"/>
      <c r="F386" s="607"/>
      <c r="G386" s="607"/>
      <c r="H386"/>
      <c r="I386"/>
      <c r="J386"/>
      <c r="K386"/>
    </row>
    <row r="387" spans="1:11" ht="14.25">
      <c r="A387" s="275" t="s">
        <v>513</v>
      </c>
      <c r="B387" s="449" t="s">
        <v>156</v>
      </c>
      <c r="C387" s="303">
        <v>0</v>
      </c>
      <c r="D387"/>
      <c r="E387" s="607"/>
      <c r="F387" s="607"/>
      <c r="G387" s="607"/>
      <c r="H387"/>
      <c r="I387"/>
      <c r="J387"/>
      <c r="K387"/>
    </row>
    <row r="388" spans="1:11" ht="14.25">
      <c r="A388" s="275" t="s">
        <v>514</v>
      </c>
      <c r="B388" s="449" t="s">
        <v>157</v>
      </c>
      <c r="C388" s="303">
        <v>0</v>
      </c>
      <c r="D388"/>
      <c r="E388" s="607"/>
      <c r="F388" s="607"/>
      <c r="G388" s="607"/>
      <c r="H388"/>
      <c r="I388"/>
      <c r="J388"/>
      <c r="K388"/>
    </row>
    <row r="389" spans="1:11" ht="14.25">
      <c r="A389" s="280">
        <v>8002999</v>
      </c>
      <c r="B389" s="452" t="s">
        <v>602</v>
      </c>
      <c r="C389" s="303">
        <v>0</v>
      </c>
      <c r="D389"/>
      <c r="E389" s="607"/>
      <c r="F389" s="607"/>
      <c r="G389" s="607"/>
      <c r="H389"/>
      <c r="I389"/>
      <c r="J389"/>
      <c r="K389"/>
    </row>
    <row r="390" spans="1:12" s="228" customFormat="1" ht="7.5" customHeight="1" thickBot="1">
      <c r="A390" s="256"/>
      <c r="B390" s="463"/>
      <c r="C390" s="257"/>
      <c r="D390"/>
      <c r="E390" s="607"/>
      <c r="F390" s="607"/>
      <c r="G390" s="607"/>
      <c r="H390"/>
      <c r="I390"/>
      <c r="J390"/>
      <c r="K390"/>
      <c r="L390" s="221"/>
    </row>
    <row r="391" spans="1:12" s="241" customFormat="1" ht="18.75" thickBot="1">
      <c r="A391" s="281" t="s">
        <v>92</v>
      </c>
      <c r="B391" s="470" t="s">
        <v>93</v>
      </c>
      <c r="C391" s="283">
        <v>0</v>
      </c>
      <c r="D391"/>
      <c r="E391" s="607"/>
      <c r="F391" s="607"/>
      <c r="G391" s="607"/>
      <c r="H391"/>
      <c r="I391"/>
      <c r="J391"/>
      <c r="K391"/>
      <c r="L391" s="221"/>
    </row>
    <row r="392" spans="1:11" ht="13.5" thickTop="1">
      <c r="A392" s="540"/>
      <c r="B392" s="538">
        <f>+IF('Datos a presupuestar'!B393=0,"",'Datos a presupuestar'!B393)</f>
      </c>
      <c r="C392" s="541"/>
      <c r="D392"/>
      <c r="E392" s="607"/>
      <c r="F392" s="607"/>
      <c r="G392" s="607"/>
      <c r="H392"/>
      <c r="I392"/>
      <c r="J392"/>
      <c r="K392"/>
    </row>
    <row r="393" spans="1:12" s="222" customFormat="1" ht="18">
      <c r="A393" s="542" t="s">
        <v>405</v>
      </c>
      <c r="B393" s="340"/>
      <c r="C393" s="543">
        <f>+C143-C394</f>
        <v>49154543228</v>
      </c>
      <c r="D393"/>
      <c r="E393" s="611"/>
      <c r="F393" s="607"/>
      <c r="G393" s="607"/>
      <c r="H393"/>
      <c r="I393"/>
      <c r="J393"/>
      <c r="K393"/>
      <c r="L393" s="221"/>
    </row>
    <row r="394" spans="1:11" ht="18">
      <c r="A394" s="544" t="s">
        <v>603</v>
      </c>
      <c r="B394" s="340"/>
      <c r="C394" s="543">
        <f>SUMIF(B143:B391,A394,C143:C391)</f>
        <v>0</v>
      </c>
      <c r="D394"/>
      <c r="E394" s="607"/>
      <c r="F394" s="607"/>
      <c r="G394" s="607"/>
      <c r="H394"/>
      <c r="I394"/>
      <c r="J394"/>
      <c r="K394"/>
    </row>
    <row r="395" spans="1:11" ht="18.75" thickBot="1">
      <c r="A395" s="545" t="s">
        <v>406</v>
      </c>
      <c r="B395" s="546"/>
      <c r="C395" s="547">
        <f>C394+C393</f>
        <v>49154543228</v>
      </c>
      <c r="D395"/>
      <c r="E395" s="609"/>
      <c r="F395" s="607"/>
      <c r="G395" s="607"/>
      <c r="H395"/>
      <c r="I395"/>
      <c r="J395"/>
      <c r="K395"/>
    </row>
    <row r="396" spans="4:11" ht="12.75" hidden="1">
      <c r="D396"/>
      <c r="E396" s="607"/>
      <c r="F396" s="607"/>
      <c r="G396" s="607"/>
      <c r="H396"/>
      <c r="I396"/>
      <c r="J396"/>
      <c r="K396"/>
    </row>
    <row r="397" spans="4:11" ht="12.75" hidden="1">
      <c r="D397"/>
      <c r="E397" s="607"/>
      <c r="F397" s="607"/>
      <c r="G397" s="607"/>
      <c r="H397"/>
      <c r="I397"/>
      <c r="J397"/>
      <c r="K397"/>
    </row>
    <row r="398" spans="4:11" ht="12.75" hidden="1">
      <c r="D398"/>
      <c r="E398" s="607"/>
      <c r="F398" s="607"/>
      <c r="G398" s="607"/>
      <c r="H398"/>
      <c r="I398"/>
      <c r="J398"/>
      <c r="K398"/>
    </row>
    <row r="399" spans="4:11" ht="12.75" hidden="1">
      <c r="D399"/>
      <c r="E399" s="607"/>
      <c r="F399" s="607"/>
      <c r="G399" s="607"/>
      <c r="H399"/>
      <c r="I399"/>
      <c r="J399"/>
      <c r="K399"/>
    </row>
    <row r="400" spans="4:11" ht="12.75" hidden="1">
      <c r="D400"/>
      <c r="E400" s="607"/>
      <c r="F400" s="607"/>
      <c r="G400" s="607"/>
      <c r="H400"/>
      <c r="I400"/>
      <c r="J400"/>
      <c r="K400"/>
    </row>
    <row r="401" spans="4:11" ht="12.75" hidden="1">
      <c r="D401"/>
      <c r="E401" s="607"/>
      <c r="F401" s="607"/>
      <c r="G401" s="607"/>
      <c r="H401"/>
      <c r="I401"/>
      <c r="J401"/>
      <c r="K401"/>
    </row>
    <row r="402" spans="4:11" ht="12.75" hidden="1">
      <c r="D402"/>
      <c r="E402" s="607"/>
      <c r="F402" s="607"/>
      <c r="G402" s="607"/>
      <c r="H402"/>
      <c r="I402"/>
      <c r="J402"/>
      <c r="K402"/>
    </row>
    <row r="403" spans="4:11" ht="12.75" hidden="1">
      <c r="D403"/>
      <c r="E403" s="607"/>
      <c r="F403" s="607"/>
      <c r="G403" s="607"/>
      <c r="H403"/>
      <c r="I403"/>
      <c r="J403"/>
      <c r="K403"/>
    </row>
    <row r="404" spans="4:11" ht="12.75" hidden="1">
      <c r="D404"/>
      <c r="E404" s="607"/>
      <c r="F404" s="607"/>
      <c r="G404" s="607"/>
      <c r="H404"/>
      <c r="I404"/>
      <c r="J404"/>
      <c r="K404"/>
    </row>
    <row r="405" spans="4:11" ht="12.75" hidden="1">
      <c r="D405"/>
      <c r="E405" s="607"/>
      <c r="F405" s="607"/>
      <c r="G405" s="607"/>
      <c r="H405"/>
      <c r="I405"/>
      <c r="J405"/>
      <c r="K405"/>
    </row>
    <row r="406" spans="4:11" ht="12.75" hidden="1">
      <c r="D406"/>
      <c r="E406" s="607"/>
      <c r="F406" s="607"/>
      <c r="G406" s="607"/>
      <c r="H406"/>
      <c r="I406"/>
      <c r="J406"/>
      <c r="K406"/>
    </row>
    <row r="407" spans="4:11" ht="12.75" hidden="1">
      <c r="D407"/>
      <c r="E407" s="607"/>
      <c r="F407" s="607"/>
      <c r="G407" s="607"/>
      <c r="H407"/>
      <c r="I407"/>
      <c r="J407"/>
      <c r="K407"/>
    </row>
    <row r="408" spans="4:11" ht="12.75" hidden="1">
      <c r="D408"/>
      <c r="E408" s="607"/>
      <c r="F408" s="607"/>
      <c r="G408" s="607"/>
      <c r="H408"/>
      <c r="I408"/>
      <c r="J408"/>
      <c r="K408"/>
    </row>
    <row r="409" spans="4:11" ht="12.75" hidden="1">
      <c r="D409"/>
      <c r="E409" s="607"/>
      <c r="F409" s="607"/>
      <c r="G409" s="607"/>
      <c r="H409"/>
      <c r="I409"/>
      <c r="J409"/>
      <c r="K409"/>
    </row>
    <row r="410" spans="4:11" ht="12.75" hidden="1">
      <c r="D410"/>
      <c r="E410" s="607"/>
      <c r="F410" s="607"/>
      <c r="G410" s="607"/>
      <c r="H410"/>
      <c r="I410"/>
      <c r="J410"/>
      <c r="K410"/>
    </row>
    <row r="411" spans="4:11" ht="12.75" hidden="1">
      <c r="D411"/>
      <c r="E411" s="607"/>
      <c r="F411" s="607"/>
      <c r="G411" s="607"/>
      <c r="H411"/>
      <c r="I411"/>
      <c r="J411"/>
      <c r="K411"/>
    </row>
    <row r="412" spans="4:11" ht="12.75" hidden="1">
      <c r="D412"/>
      <c r="E412" s="607"/>
      <c r="F412" s="607"/>
      <c r="G412" s="607"/>
      <c r="H412"/>
      <c r="I412"/>
      <c r="J412"/>
      <c r="K412"/>
    </row>
    <row r="413" spans="4:11" ht="12.75" hidden="1">
      <c r="D413"/>
      <c r="E413" s="607"/>
      <c r="F413" s="607"/>
      <c r="G413" s="607"/>
      <c r="H413"/>
      <c r="I413"/>
      <c r="J413"/>
      <c r="K413"/>
    </row>
    <row r="414" spans="4:11" ht="12.75" hidden="1">
      <c r="D414"/>
      <c r="E414" s="607"/>
      <c r="F414" s="607"/>
      <c r="G414" s="607"/>
      <c r="H414"/>
      <c r="I414"/>
      <c r="J414"/>
      <c r="K414"/>
    </row>
    <row r="415" spans="4:11" ht="12.75" hidden="1">
      <c r="D415"/>
      <c r="E415" s="607"/>
      <c r="F415" s="607"/>
      <c r="G415" s="607"/>
      <c r="H415"/>
      <c r="I415"/>
      <c r="J415"/>
      <c r="K415"/>
    </row>
    <row r="416" spans="4:11" ht="12.75" hidden="1">
      <c r="D416"/>
      <c r="E416" s="607"/>
      <c r="F416" s="607"/>
      <c r="G416" s="607"/>
      <c r="H416"/>
      <c r="I416"/>
      <c r="J416"/>
      <c r="K416"/>
    </row>
    <row r="417" spans="4:11" ht="12.75" hidden="1">
      <c r="D417"/>
      <c r="E417" s="607"/>
      <c r="F417" s="607"/>
      <c r="G417" s="607"/>
      <c r="H417"/>
      <c r="I417"/>
      <c r="J417"/>
      <c r="K417"/>
    </row>
    <row r="418" spans="4:11" ht="12.75" hidden="1">
      <c r="D418"/>
      <c r="E418" s="607"/>
      <c r="F418" s="607"/>
      <c r="G418" s="607"/>
      <c r="H418"/>
      <c r="I418"/>
      <c r="J418"/>
      <c r="K418"/>
    </row>
    <row r="419" spans="4:11" ht="12.75" hidden="1">
      <c r="D419"/>
      <c r="E419" s="607"/>
      <c r="F419" s="607"/>
      <c r="G419" s="607"/>
      <c r="H419"/>
      <c r="I419"/>
      <c r="J419"/>
      <c r="K419"/>
    </row>
    <row r="420" spans="4:11" ht="12.75" hidden="1">
      <c r="D420"/>
      <c r="E420" s="607"/>
      <c r="F420" s="607"/>
      <c r="G420" s="607"/>
      <c r="H420"/>
      <c r="I420"/>
      <c r="J420"/>
      <c r="K420"/>
    </row>
    <row r="421" spans="4:11" ht="12.75" hidden="1">
      <c r="D421"/>
      <c r="E421" s="607"/>
      <c r="F421" s="607"/>
      <c r="G421" s="607"/>
      <c r="H421"/>
      <c r="I421"/>
      <c r="J421"/>
      <c r="K421"/>
    </row>
    <row r="422" spans="4:11" ht="12.75" hidden="1">
      <c r="D422"/>
      <c r="E422" s="607"/>
      <c r="F422" s="607"/>
      <c r="G422" s="607"/>
      <c r="H422"/>
      <c r="I422"/>
      <c r="J422"/>
      <c r="K422"/>
    </row>
    <row r="423" spans="4:11" ht="12.75" hidden="1">
      <c r="D423"/>
      <c r="E423" s="607"/>
      <c r="F423" s="607"/>
      <c r="G423" s="607"/>
      <c r="H423"/>
      <c r="I423"/>
      <c r="J423"/>
      <c r="K423"/>
    </row>
    <row r="424" spans="4:11" ht="12.75" hidden="1">
      <c r="D424"/>
      <c r="E424" s="607"/>
      <c r="F424" s="607"/>
      <c r="G424" s="607"/>
      <c r="H424"/>
      <c r="I424"/>
      <c r="J424"/>
      <c r="K424"/>
    </row>
    <row r="425" spans="4:11" ht="12.75" hidden="1">
      <c r="D425"/>
      <c r="E425" s="607"/>
      <c r="F425" s="607"/>
      <c r="G425" s="607"/>
      <c r="H425"/>
      <c r="I425"/>
      <c r="J425"/>
      <c r="K425"/>
    </row>
    <row r="426" spans="4:11" ht="12.75" hidden="1">
      <c r="D426"/>
      <c r="E426" s="607"/>
      <c r="F426" s="607"/>
      <c r="G426" s="607"/>
      <c r="H426"/>
      <c r="I426"/>
      <c r="J426"/>
      <c r="K426"/>
    </row>
    <row r="427" spans="4:11" ht="12.75" hidden="1">
      <c r="D427"/>
      <c r="E427" s="607"/>
      <c r="F427" s="607"/>
      <c r="G427" s="607"/>
      <c r="H427"/>
      <c r="I427"/>
      <c r="J427"/>
      <c r="K427"/>
    </row>
    <row r="428" spans="4:11" ht="12.75" hidden="1">
      <c r="D428"/>
      <c r="E428" s="607"/>
      <c r="F428" s="607"/>
      <c r="G428" s="607"/>
      <c r="H428"/>
      <c r="I428"/>
      <c r="J428"/>
      <c r="K428"/>
    </row>
    <row r="429" spans="4:11" ht="12.75" hidden="1">
      <c r="D429"/>
      <c r="E429" s="607"/>
      <c r="F429" s="607"/>
      <c r="G429" s="607"/>
      <c r="H429"/>
      <c r="I429"/>
      <c r="J429"/>
      <c r="K429"/>
    </row>
    <row r="430" spans="4:11" ht="12.75" hidden="1">
      <c r="D430"/>
      <c r="E430" s="607"/>
      <c r="F430" s="607"/>
      <c r="G430" s="607"/>
      <c r="H430"/>
      <c r="I430"/>
      <c r="J430"/>
      <c r="K430"/>
    </row>
    <row r="431" spans="4:11" ht="12.75" hidden="1">
      <c r="D431"/>
      <c r="E431" s="607"/>
      <c r="F431" s="607"/>
      <c r="G431" s="607"/>
      <c r="H431"/>
      <c r="I431"/>
      <c r="J431"/>
      <c r="K431"/>
    </row>
    <row r="432" spans="4:11" ht="12.75" hidden="1">
      <c r="D432"/>
      <c r="E432" s="607"/>
      <c r="F432" s="607"/>
      <c r="G432" s="607"/>
      <c r="H432"/>
      <c r="I432"/>
      <c r="J432"/>
      <c r="K432"/>
    </row>
    <row r="433" spans="4:11" ht="12.75" hidden="1">
      <c r="D433"/>
      <c r="E433" s="607"/>
      <c r="F433" s="607"/>
      <c r="G433" s="607"/>
      <c r="H433"/>
      <c r="I433"/>
      <c r="J433"/>
      <c r="K433"/>
    </row>
    <row r="434" spans="4:11" ht="12.75" hidden="1">
      <c r="D434"/>
      <c r="E434" s="607"/>
      <c r="F434" s="607"/>
      <c r="G434" s="607"/>
      <c r="H434"/>
      <c r="I434"/>
      <c r="J434"/>
      <c r="K434"/>
    </row>
    <row r="435" spans="4:11" ht="12.75" hidden="1">
      <c r="D435"/>
      <c r="E435" s="607"/>
      <c r="F435" s="607"/>
      <c r="G435" s="607"/>
      <c r="H435"/>
      <c r="I435"/>
      <c r="J435"/>
      <c r="K435"/>
    </row>
    <row r="436" spans="4:11" ht="12.75" hidden="1">
      <c r="D436"/>
      <c r="E436" s="607"/>
      <c r="F436" s="607"/>
      <c r="G436" s="607"/>
      <c r="H436"/>
      <c r="I436"/>
      <c r="J436"/>
      <c r="K436"/>
    </row>
    <row r="437" spans="4:11" ht="12.75" hidden="1">
      <c r="D437"/>
      <c r="E437" s="607"/>
      <c r="F437" s="607"/>
      <c r="G437" s="607"/>
      <c r="H437"/>
      <c r="I437"/>
      <c r="J437"/>
      <c r="K437"/>
    </row>
    <row r="438" spans="4:11" ht="12.75" hidden="1">
      <c r="D438"/>
      <c r="E438" s="607"/>
      <c r="F438" s="607"/>
      <c r="G438" s="607"/>
      <c r="H438"/>
      <c r="I438"/>
      <c r="J438"/>
      <c r="K438"/>
    </row>
    <row r="439" spans="4:11" ht="12.75" hidden="1">
      <c r="D439"/>
      <c r="E439" s="607"/>
      <c r="F439" s="607"/>
      <c r="G439" s="607"/>
      <c r="H439"/>
      <c r="I439"/>
      <c r="J439"/>
      <c r="K439"/>
    </row>
    <row r="440" spans="4:11" ht="12.75" hidden="1">
      <c r="D440"/>
      <c r="E440" s="607"/>
      <c r="F440" s="607"/>
      <c r="G440" s="607"/>
      <c r="H440"/>
      <c r="I440"/>
      <c r="J440"/>
      <c r="K440"/>
    </row>
    <row r="441" spans="4:11" ht="12.75" hidden="1">
      <c r="D441"/>
      <c r="E441" s="607"/>
      <c r="F441" s="607"/>
      <c r="G441" s="607"/>
      <c r="H441"/>
      <c r="I441"/>
      <c r="J441"/>
      <c r="K441"/>
    </row>
    <row r="442" spans="4:11" ht="12.75" hidden="1">
      <c r="D442"/>
      <c r="E442" s="607"/>
      <c r="F442" s="607"/>
      <c r="G442" s="607"/>
      <c r="H442"/>
      <c r="I442"/>
      <c r="J442"/>
      <c r="K442"/>
    </row>
    <row r="443" spans="4:11" ht="12.75" hidden="1">
      <c r="D443"/>
      <c r="E443" s="607"/>
      <c r="F443" s="607"/>
      <c r="G443" s="607"/>
      <c r="H443"/>
      <c r="I443"/>
      <c r="J443"/>
      <c r="K443"/>
    </row>
    <row r="444" spans="4:11" ht="12.75" hidden="1">
      <c r="D444"/>
      <c r="E444" s="607"/>
      <c r="F444" s="607"/>
      <c r="G444" s="607"/>
      <c r="H444"/>
      <c r="I444"/>
      <c r="J444"/>
      <c r="K444"/>
    </row>
    <row r="445" spans="4:11" ht="12.75" hidden="1">
      <c r="D445"/>
      <c r="E445" s="607"/>
      <c r="F445" s="607"/>
      <c r="G445" s="607"/>
      <c r="H445"/>
      <c r="I445"/>
      <c r="J445"/>
      <c r="K445"/>
    </row>
    <row r="446" spans="4:11" ht="12.75" hidden="1">
      <c r="D446"/>
      <c r="E446" s="607"/>
      <c r="F446" s="607"/>
      <c r="G446" s="607"/>
      <c r="H446"/>
      <c r="I446"/>
      <c r="J446"/>
      <c r="K446"/>
    </row>
    <row r="447" spans="4:11" ht="12.75" hidden="1">
      <c r="D447"/>
      <c r="E447" s="607"/>
      <c r="F447" s="607"/>
      <c r="G447" s="607"/>
      <c r="H447"/>
      <c r="I447"/>
      <c r="J447"/>
      <c r="K447"/>
    </row>
    <row r="448" spans="4:11" ht="12.75" hidden="1">
      <c r="D448"/>
      <c r="E448" s="607"/>
      <c r="F448" s="607"/>
      <c r="G448" s="607"/>
      <c r="H448"/>
      <c r="I448"/>
      <c r="J448"/>
      <c r="K448"/>
    </row>
    <row r="449" spans="4:11" ht="12.75" hidden="1">
      <c r="D449"/>
      <c r="E449" s="607"/>
      <c r="F449" s="607"/>
      <c r="G449" s="607"/>
      <c r="H449"/>
      <c r="I449"/>
      <c r="J449"/>
      <c r="K449"/>
    </row>
    <row r="450" spans="4:11" ht="12.75" hidden="1">
      <c r="D450"/>
      <c r="E450" s="607"/>
      <c r="F450" s="607"/>
      <c r="G450" s="607"/>
      <c r="H450"/>
      <c r="I450"/>
      <c r="J450"/>
      <c r="K450"/>
    </row>
    <row r="451" spans="4:11" ht="12.75" hidden="1">
      <c r="D451"/>
      <c r="E451" s="607"/>
      <c r="F451" s="607"/>
      <c r="G451" s="607"/>
      <c r="H451"/>
      <c r="I451"/>
      <c r="J451"/>
      <c r="K451"/>
    </row>
    <row r="452" spans="4:11" ht="12.75" hidden="1">
      <c r="D452"/>
      <c r="E452" s="607"/>
      <c r="F452" s="607"/>
      <c r="G452" s="607"/>
      <c r="H452"/>
      <c r="I452"/>
      <c r="J452"/>
      <c r="K452"/>
    </row>
    <row r="453" spans="4:11" ht="12.75" hidden="1">
      <c r="D453"/>
      <c r="E453" s="607"/>
      <c r="F453" s="607"/>
      <c r="G453" s="607"/>
      <c r="H453"/>
      <c r="I453"/>
      <c r="J453"/>
      <c r="K453"/>
    </row>
    <row r="454" spans="4:11" ht="12.75" hidden="1">
      <c r="D454"/>
      <c r="E454" s="607"/>
      <c r="F454" s="607"/>
      <c r="G454" s="607"/>
      <c r="H454"/>
      <c r="I454"/>
      <c r="J454"/>
      <c r="K454"/>
    </row>
    <row r="455" spans="4:11" ht="12.75" hidden="1">
      <c r="D455"/>
      <c r="E455" s="607"/>
      <c r="F455" s="607"/>
      <c r="G455" s="607"/>
      <c r="H455"/>
      <c r="I455"/>
      <c r="J455"/>
      <c r="K455"/>
    </row>
    <row r="456" spans="4:11" ht="12.75" hidden="1">
      <c r="D456"/>
      <c r="E456" s="607"/>
      <c r="F456" s="607"/>
      <c r="G456" s="607"/>
      <c r="H456"/>
      <c r="I456"/>
      <c r="J456"/>
      <c r="K456"/>
    </row>
    <row r="457" spans="4:11" ht="12.75" hidden="1">
      <c r="D457"/>
      <c r="E457" s="607"/>
      <c r="F457" s="607"/>
      <c r="G457" s="607"/>
      <c r="H457"/>
      <c r="I457"/>
      <c r="J457"/>
      <c r="K457"/>
    </row>
    <row r="458" spans="4:11" ht="12.75" hidden="1">
      <c r="D458"/>
      <c r="E458" s="607"/>
      <c r="F458" s="607"/>
      <c r="G458" s="607"/>
      <c r="H458"/>
      <c r="I458"/>
      <c r="J458"/>
      <c r="K458"/>
    </row>
    <row r="459" spans="4:11" ht="12.75" hidden="1">
      <c r="D459"/>
      <c r="E459" s="607"/>
      <c r="F459" s="607"/>
      <c r="G459" s="607"/>
      <c r="H459"/>
      <c r="I459"/>
      <c r="J459"/>
      <c r="K459"/>
    </row>
    <row r="460" spans="4:11" ht="12.75" hidden="1">
      <c r="D460"/>
      <c r="E460" s="607"/>
      <c r="F460" s="607"/>
      <c r="G460" s="607"/>
      <c r="H460"/>
      <c r="I460"/>
      <c r="J460"/>
      <c r="K460"/>
    </row>
    <row r="461" spans="4:11" ht="12.75" hidden="1">
      <c r="D461"/>
      <c r="E461" s="607"/>
      <c r="F461" s="607"/>
      <c r="G461" s="607"/>
      <c r="H461"/>
      <c r="I461"/>
      <c r="J461"/>
      <c r="K461"/>
    </row>
    <row r="462" spans="4:11" ht="12.75" hidden="1">
      <c r="D462"/>
      <c r="E462" s="607"/>
      <c r="F462" s="607"/>
      <c r="G462" s="607"/>
      <c r="H462"/>
      <c r="I462"/>
      <c r="J462"/>
      <c r="K462"/>
    </row>
    <row r="463" spans="4:11" ht="12.75" hidden="1">
      <c r="D463"/>
      <c r="E463" s="607"/>
      <c r="F463" s="607"/>
      <c r="G463" s="607"/>
      <c r="H463"/>
      <c r="I463"/>
      <c r="J463"/>
      <c r="K463"/>
    </row>
    <row r="464" spans="4:11" ht="12.75" hidden="1">
      <c r="D464"/>
      <c r="E464" s="607"/>
      <c r="F464" s="607"/>
      <c r="G464" s="607"/>
      <c r="H464"/>
      <c r="I464"/>
      <c r="J464"/>
      <c r="K464"/>
    </row>
    <row r="465" spans="4:11" ht="12.75" hidden="1">
      <c r="D465"/>
      <c r="E465" s="607"/>
      <c r="F465" s="607"/>
      <c r="G465" s="607"/>
      <c r="H465"/>
      <c r="I465"/>
      <c r="J465"/>
      <c r="K465"/>
    </row>
    <row r="466" spans="4:11" ht="12.75" hidden="1">
      <c r="D466"/>
      <c r="E466" s="607"/>
      <c r="F466" s="607"/>
      <c r="G466" s="607"/>
      <c r="H466"/>
      <c r="I466"/>
      <c r="J466"/>
      <c r="K466"/>
    </row>
    <row r="467" spans="4:11" ht="12.75" hidden="1">
      <c r="D467"/>
      <c r="E467" s="607"/>
      <c r="F467" s="607"/>
      <c r="G467" s="607"/>
      <c r="H467"/>
      <c r="I467"/>
      <c r="J467"/>
      <c r="K467"/>
    </row>
    <row r="468" spans="4:11" ht="12.75" hidden="1">
      <c r="D468"/>
      <c r="E468" s="607"/>
      <c r="F468" s="607"/>
      <c r="G468" s="607"/>
      <c r="H468"/>
      <c r="I468"/>
      <c r="J468"/>
      <c r="K468"/>
    </row>
    <row r="469" spans="4:11" ht="12.75" hidden="1">
      <c r="D469"/>
      <c r="E469" s="607"/>
      <c r="F469" s="607"/>
      <c r="G469" s="607"/>
      <c r="H469"/>
      <c r="I469"/>
      <c r="J469"/>
      <c r="K469"/>
    </row>
    <row r="470" spans="4:11" ht="12.75" hidden="1">
      <c r="D470"/>
      <c r="E470" s="607"/>
      <c r="F470" s="607"/>
      <c r="G470" s="607"/>
      <c r="H470"/>
      <c r="I470"/>
      <c r="J470"/>
      <c r="K470"/>
    </row>
    <row r="471" spans="4:11" ht="12.75" hidden="1">
      <c r="D471"/>
      <c r="E471" s="607"/>
      <c r="F471" s="607"/>
      <c r="G471" s="607"/>
      <c r="H471"/>
      <c r="I471"/>
      <c r="J471"/>
      <c r="K471"/>
    </row>
    <row r="472" spans="4:11" ht="12.75" hidden="1">
      <c r="D472"/>
      <c r="E472" s="607"/>
      <c r="F472" s="607"/>
      <c r="G472" s="607"/>
      <c r="H472"/>
      <c r="I472"/>
      <c r="J472"/>
      <c r="K472"/>
    </row>
    <row r="473" spans="4:11" ht="12.75" hidden="1">
      <c r="D473"/>
      <c r="E473" s="607"/>
      <c r="F473" s="607"/>
      <c r="G473" s="607"/>
      <c r="H473"/>
      <c r="I473"/>
      <c r="J473"/>
      <c r="K473"/>
    </row>
    <row r="474" spans="4:11" ht="12.75" hidden="1">
      <c r="D474"/>
      <c r="E474" s="607"/>
      <c r="F474" s="607"/>
      <c r="G474" s="607"/>
      <c r="H474"/>
      <c r="I474"/>
      <c r="J474"/>
      <c r="K474"/>
    </row>
    <row r="475" spans="4:11" ht="12.75" hidden="1">
      <c r="D475"/>
      <c r="E475" s="607"/>
      <c r="F475" s="607"/>
      <c r="G475" s="607"/>
      <c r="H475"/>
      <c r="I475"/>
      <c r="J475"/>
      <c r="K475"/>
    </row>
    <row r="476" spans="4:11" ht="12.75" hidden="1">
      <c r="D476"/>
      <c r="E476" s="607"/>
      <c r="F476" s="607"/>
      <c r="G476" s="607"/>
      <c r="H476"/>
      <c r="I476"/>
      <c r="J476"/>
      <c r="K476"/>
    </row>
    <row r="477" spans="4:11" ht="12.75" hidden="1">
      <c r="D477"/>
      <c r="E477" s="607"/>
      <c r="F477" s="607"/>
      <c r="G477" s="607"/>
      <c r="H477"/>
      <c r="I477"/>
      <c r="J477"/>
      <c r="K477"/>
    </row>
    <row r="478" spans="4:11" ht="12.75" hidden="1">
      <c r="D478"/>
      <c r="E478" s="607"/>
      <c r="F478" s="607"/>
      <c r="G478" s="607"/>
      <c r="H478"/>
      <c r="I478"/>
      <c r="J478"/>
      <c r="K478"/>
    </row>
    <row r="479" spans="4:11" ht="12.75" hidden="1">
      <c r="D479"/>
      <c r="E479" s="607"/>
      <c r="F479" s="607"/>
      <c r="G479" s="607"/>
      <c r="H479"/>
      <c r="I479"/>
      <c r="J479"/>
      <c r="K479"/>
    </row>
    <row r="480" spans="4:11" ht="12.75" hidden="1">
      <c r="D480"/>
      <c r="E480" s="607"/>
      <c r="F480" s="607"/>
      <c r="G480" s="607"/>
      <c r="H480"/>
      <c r="I480"/>
      <c r="J480"/>
      <c r="K480"/>
    </row>
    <row r="481" spans="4:11" ht="12.75" hidden="1">
      <c r="D481"/>
      <c r="E481" s="607"/>
      <c r="F481" s="607"/>
      <c r="G481" s="607"/>
      <c r="H481"/>
      <c r="I481"/>
      <c r="J481"/>
      <c r="K481"/>
    </row>
    <row r="482" spans="4:11" ht="12.75" hidden="1">
      <c r="D482"/>
      <c r="E482" s="607"/>
      <c r="F482" s="607"/>
      <c r="G482" s="607"/>
      <c r="H482"/>
      <c r="I482"/>
      <c r="J482"/>
      <c r="K482"/>
    </row>
    <row r="483" spans="4:11" ht="12.75" hidden="1">
      <c r="D483"/>
      <c r="E483" s="607"/>
      <c r="F483" s="607"/>
      <c r="G483" s="607"/>
      <c r="H483"/>
      <c r="I483"/>
      <c r="J483"/>
      <c r="K483"/>
    </row>
    <row r="484" spans="4:11" ht="12.75" hidden="1">
      <c r="D484"/>
      <c r="E484" s="607"/>
      <c r="F484" s="607"/>
      <c r="G484" s="607"/>
      <c r="H484"/>
      <c r="I484"/>
      <c r="J484"/>
      <c r="K484"/>
    </row>
    <row r="485" spans="4:11" ht="12.75" hidden="1">
      <c r="D485"/>
      <c r="E485" s="607"/>
      <c r="F485" s="607"/>
      <c r="G485" s="607"/>
      <c r="H485"/>
      <c r="I485"/>
      <c r="J485"/>
      <c r="K485"/>
    </row>
    <row r="486" spans="4:11" ht="12.75" hidden="1">
      <c r="D486"/>
      <c r="E486" s="607"/>
      <c r="F486" s="607"/>
      <c r="G486" s="607"/>
      <c r="H486"/>
      <c r="I486"/>
      <c r="J486"/>
      <c r="K486"/>
    </row>
    <row r="487" spans="4:11" ht="12.75" hidden="1">
      <c r="D487"/>
      <c r="E487" s="607"/>
      <c r="F487" s="607"/>
      <c r="G487" s="607"/>
      <c r="H487"/>
      <c r="I487"/>
      <c r="J487"/>
      <c r="K487"/>
    </row>
    <row r="488" spans="4:11" ht="12.75" hidden="1">
      <c r="D488"/>
      <c r="E488" s="607"/>
      <c r="F488" s="607"/>
      <c r="G488" s="607"/>
      <c r="H488"/>
      <c r="I488"/>
      <c r="J488"/>
      <c r="K488"/>
    </row>
    <row r="489" spans="4:11" ht="12.75" hidden="1">
      <c r="D489"/>
      <c r="E489" s="607"/>
      <c r="F489" s="607"/>
      <c r="G489" s="607"/>
      <c r="H489"/>
      <c r="I489"/>
      <c r="J489"/>
      <c r="K489"/>
    </row>
    <row r="490" spans="4:11" ht="12.75" hidden="1">
      <c r="D490"/>
      <c r="E490" s="607"/>
      <c r="F490" s="607"/>
      <c r="G490" s="607"/>
      <c r="H490"/>
      <c r="I490"/>
      <c r="J490"/>
      <c r="K490"/>
    </row>
    <row r="491" spans="4:11" ht="12.75" hidden="1">
      <c r="D491"/>
      <c r="E491" s="607"/>
      <c r="F491" s="607"/>
      <c r="G491" s="607"/>
      <c r="H491"/>
      <c r="I491"/>
      <c r="J491"/>
      <c r="K491"/>
    </row>
    <row r="492" spans="4:11" ht="12.75" hidden="1">
      <c r="D492"/>
      <c r="E492" s="607"/>
      <c r="F492" s="607"/>
      <c r="G492" s="607"/>
      <c r="H492"/>
      <c r="I492"/>
      <c r="J492"/>
      <c r="K492"/>
    </row>
    <row r="493" spans="4:11" ht="12.75" hidden="1">
      <c r="D493"/>
      <c r="E493" s="607"/>
      <c r="F493" s="607"/>
      <c r="G493" s="607"/>
      <c r="H493"/>
      <c r="I493"/>
      <c r="J493"/>
      <c r="K493"/>
    </row>
    <row r="494" spans="4:11" ht="12.75" hidden="1">
      <c r="D494"/>
      <c r="E494" s="607"/>
      <c r="F494" s="607"/>
      <c r="G494" s="607"/>
      <c r="H494"/>
      <c r="I494"/>
      <c r="J494"/>
      <c r="K494"/>
    </row>
    <row r="495" spans="4:11" ht="12.75" hidden="1">
      <c r="D495"/>
      <c r="E495" s="607"/>
      <c r="F495" s="607"/>
      <c r="G495" s="607"/>
      <c r="H495"/>
      <c r="I495"/>
      <c r="J495"/>
      <c r="K495"/>
    </row>
    <row r="496" spans="4:11" ht="12.75" hidden="1">
      <c r="D496"/>
      <c r="E496" s="607"/>
      <c r="F496" s="607"/>
      <c r="G496" s="607"/>
      <c r="H496"/>
      <c r="I496"/>
      <c r="J496"/>
      <c r="K496"/>
    </row>
    <row r="497" spans="4:11" ht="12.75" hidden="1">
      <c r="D497"/>
      <c r="E497" s="607"/>
      <c r="F497" s="607"/>
      <c r="G497" s="607"/>
      <c r="H497"/>
      <c r="I497"/>
      <c r="J497"/>
      <c r="K497"/>
    </row>
    <row r="498" spans="4:11" ht="12.75" hidden="1">
      <c r="D498"/>
      <c r="E498" s="607"/>
      <c r="F498" s="607"/>
      <c r="G498" s="607"/>
      <c r="H498"/>
      <c r="I498"/>
      <c r="J498"/>
      <c r="K498"/>
    </row>
    <row r="499" spans="4:11" ht="12.75" hidden="1">
      <c r="D499"/>
      <c r="E499" s="607"/>
      <c r="F499" s="607"/>
      <c r="G499" s="607"/>
      <c r="H499"/>
      <c r="I499"/>
      <c r="J499"/>
      <c r="K499"/>
    </row>
    <row r="500" spans="4:11" ht="12.75" hidden="1">
      <c r="D500"/>
      <c r="E500" s="607"/>
      <c r="F500" s="607"/>
      <c r="G500" s="607"/>
      <c r="H500"/>
      <c r="I500"/>
      <c r="J500"/>
      <c r="K500"/>
    </row>
    <row r="501" spans="4:11" ht="12.75" hidden="1">
      <c r="D501"/>
      <c r="E501" s="607"/>
      <c r="F501" s="607"/>
      <c r="G501" s="607"/>
      <c r="H501"/>
      <c r="I501"/>
      <c r="J501"/>
      <c r="K501"/>
    </row>
    <row r="502" spans="4:11" ht="12.75" hidden="1">
      <c r="D502"/>
      <c r="E502" s="607"/>
      <c r="F502" s="607"/>
      <c r="G502" s="607"/>
      <c r="H502"/>
      <c r="I502"/>
      <c r="J502"/>
      <c r="K502"/>
    </row>
    <row r="503" spans="4:11" ht="12.75" hidden="1">
      <c r="D503"/>
      <c r="E503" s="607"/>
      <c r="F503" s="607"/>
      <c r="G503" s="607"/>
      <c r="H503"/>
      <c r="I503"/>
      <c r="J503"/>
      <c r="K503"/>
    </row>
    <row r="504" spans="4:11" ht="12.75" hidden="1">
      <c r="D504"/>
      <c r="E504" s="607"/>
      <c r="F504" s="607"/>
      <c r="G504" s="607"/>
      <c r="H504"/>
      <c r="I504"/>
      <c r="J504"/>
      <c r="K504"/>
    </row>
    <row r="505" spans="4:11" ht="12.75" hidden="1">
      <c r="D505"/>
      <c r="E505" s="607"/>
      <c r="F505" s="607"/>
      <c r="G505" s="607"/>
      <c r="H505"/>
      <c r="I505"/>
      <c r="J505"/>
      <c r="K505"/>
    </row>
    <row r="506" spans="4:11" ht="12.75" hidden="1">
      <c r="D506"/>
      <c r="E506" s="607"/>
      <c r="F506" s="607"/>
      <c r="G506" s="607"/>
      <c r="H506"/>
      <c r="I506"/>
      <c r="J506"/>
      <c r="K506"/>
    </row>
    <row r="507" spans="4:11" ht="12.75" hidden="1">
      <c r="D507"/>
      <c r="E507" s="607"/>
      <c r="F507" s="607"/>
      <c r="G507" s="607"/>
      <c r="H507"/>
      <c r="I507"/>
      <c r="J507"/>
      <c r="K507"/>
    </row>
    <row r="508" spans="4:11" ht="12.75" hidden="1">
      <c r="D508"/>
      <c r="E508" s="607"/>
      <c r="F508" s="607"/>
      <c r="G508" s="607"/>
      <c r="H508"/>
      <c r="I508"/>
      <c r="J508"/>
      <c r="K508"/>
    </row>
    <row r="509" spans="4:11" ht="12.75" hidden="1">
      <c r="D509"/>
      <c r="E509" s="607"/>
      <c r="F509" s="607"/>
      <c r="G509" s="607"/>
      <c r="H509"/>
      <c r="I509"/>
      <c r="J509"/>
      <c r="K509"/>
    </row>
    <row r="510" spans="4:11" ht="12.75" hidden="1">
      <c r="D510"/>
      <c r="E510" s="607"/>
      <c r="F510" s="607"/>
      <c r="G510" s="607"/>
      <c r="H510"/>
      <c r="I510"/>
      <c r="J510"/>
      <c r="K510"/>
    </row>
    <row r="511" spans="4:11" ht="12.75" hidden="1">
      <c r="D511"/>
      <c r="E511" s="607"/>
      <c r="F511" s="607"/>
      <c r="G511" s="607"/>
      <c r="H511"/>
      <c r="I511"/>
      <c r="J511"/>
      <c r="K511"/>
    </row>
    <row r="512" spans="4:11" ht="12.75" hidden="1">
      <c r="D512"/>
      <c r="E512" s="607"/>
      <c r="F512" s="607"/>
      <c r="G512" s="607"/>
      <c r="H512"/>
      <c r="I512"/>
      <c r="J512"/>
      <c r="K512"/>
    </row>
    <row r="513" spans="4:11" ht="12.75" hidden="1">
      <c r="D513"/>
      <c r="E513" s="607"/>
      <c r="F513" s="607"/>
      <c r="G513" s="607"/>
      <c r="H513"/>
      <c r="I513"/>
      <c r="J513"/>
      <c r="K513"/>
    </row>
    <row r="514" spans="4:11" ht="12.75" hidden="1">
      <c r="D514"/>
      <c r="E514" s="607"/>
      <c r="F514" s="607"/>
      <c r="G514" s="607"/>
      <c r="H514"/>
      <c r="I514"/>
      <c r="J514"/>
      <c r="K514"/>
    </row>
    <row r="515" spans="4:11" ht="12.75" hidden="1">
      <c r="D515"/>
      <c r="E515" s="607"/>
      <c r="F515" s="607"/>
      <c r="G515" s="607"/>
      <c r="H515"/>
      <c r="I515"/>
      <c r="J515"/>
      <c r="K515"/>
    </row>
    <row r="516" spans="4:11" ht="12.75" hidden="1">
      <c r="D516"/>
      <c r="E516" s="607"/>
      <c r="F516" s="607"/>
      <c r="G516" s="607"/>
      <c r="H516"/>
      <c r="I516"/>
      <c r="J516"/>
      <c r="K516"/>
    </row>
    <row r="517" spans="4:11" ht="12.75" hidden="1">
      <c r="D517"/>
      <c r="E517" s="607"/>
      <c r="F517" s="607"/>
      <c r="G517" s="607"/>
      <c r="H517"/>
      <c r="I517"/>
      <c r="J517"/>
      <c r="K517"/>
    </row>
    <row r="518" spans="4:11" ht="12.75" hidden="1">
      <c r="D518"/>
      <c r="E518" s="607"/>
      <c r="F518" s="607"/>
      <c r="G518" s="607"/>
      <c r="H518"/>
      <c r="I518"/>
      <c r="J518"/>
      <c r="K518"/>
    </row>
    <row r="519" spans="4:11" ht="12.75" hidden="1">
      <c r="D519"/>
      <c r="E519" s="607"/>
      <c r="F519" s="607"/>
      <c r="G519" s="607"/>
      <c r="H519"/>
      <c r="I519"/>
      <c r="J519"/>
      <c r="K519"/>
    </row>
    <row r="520" spans="4:11" ht="12.75" hidden="1">
      <c r="D520"/>
      <c r="E520" s="607"/>
      <c r="F520" s="607"/>
      <c r="G520" s="607"/>
      <c r="H520"/>
      <c r="I520"/>
      <c r="J520"/>
      <c r="K520"/>
    </row>
    <row r="521" spans="4:11" ht="12.75" hidden="1">
      <c r="D521"/>
      <c r="E521" s="607"/>
      <c r="F521" s="607"/>
      <c r="G521" s="607"/>
      <c r="H521"/>
      <c r="I521"/>
      <c r="J521"/>
      <c r="K521"/>
    </row>
    <row r="522" spans="4:11" ht="12.75" hidden="1">
      <c r="D522"/>
      <c r="E522" s="607"/>
      <c r="F522" s="607"/>
      <c r="G522" s="607"/>
      <c r="H522"/>
      <c r="I522"/>
      <c r="J522"/>
      <c r="K522"/>
    </row>
    <row r="523" spans="4:11" ht="12.75" hidden="1">
      <c r="D523"/>
      <c r="E523" s="607"/>
      <c r="F523" s="607"/>
      <c r="G523" s="607"/>
      <c r="H523"/>
      <c r="I523"/>
      <c r="J523"/>
      <c r="K523"/>
    </row>
    <row r="524" spans="4:11" ht="12.75" hidden="1">
      <c r="D524"/>
      <c r="E524" s="607"/>
      <c r="F524" s="607"/>
      <c r="G524" s="607"/>
      <c r="H524"/>
      <c r="I524"/>
      <c r="J524"/>
      <c r="K524"/>
    </row>
    <row r="525" spans="4:11" ht="12.75" hidden="1">
      <c r="D525"/>
      <c r="E525" s="607"/>
      <c r="F525" s="607"/>
      <c r="G525" s="607"/>
      <c r="H525"/>
      <c r="I525"/>
      <c r="J525"/>
      <c r="K525"/>
    </row>
    <row r="526" spans="4:11" ht="12.75" hidden="1">
      <c r="D526"/>
      <c r="E526" s="607"/>
      <c r="F526" s="607"/>
      <c r="G526" s="607"/>
      <c r="H526"/>
      <c r="I526"/>
      <c r="J526"/>
      <c r="K526"/>
    </row>
    <row r="527" spans="4:11" ht="12.75" hidden="1">
      <c r="D527"/>
      <c r="E527" s="607"/>
      <c r="F527" s="607"/>
      <c r="G527" s="607"/>
      <c r="H527"/>
      <c r="I527"/>
      <c r="J527"/>
      <c r="K527"/>
    </row>
    <row r="528" spans="4:11" ht="12.75" hidden="1">
      <c r="D528"/>
      <c r="E528" s="607"/>
      <c r="F528" s="607"/>
      <c r="G528" s="607"/>
      <c r="H528"/>
      <c r="I528"/>
      <c r="J528"/>
      <c r="K528"/>
    </row>
    <row r="529" spans="4:11" ht="12.75" hidden="1">
      <c r="D529"/>
      <c r="E529" s="607"/>
      <c r="F529" s="607"/>
      <c r="G529" s="607"/>
      <c r="H529"/>
      <c r="I529"/>
      <c r="J529"/>
      <c r="K529"/>
    </row>
    <row r="530" spans="4:11" ht="12.75" hidden="1">
      <c r="D530"/>
      <c r="E530" s="607"/>
      <c r="F530" s="607"/>
      <c r="G530" s="607"/>
      <c r="H530"/>
      <c r="I530"/>
      <c r="J530"/>
      <c r="K530"/>
    </row>
    <row r="531" spans="4:11" ht="12.75" hidden="1">
      <c r="D531"/>
      <c r="E531" s="607"/>
      <c r="F531" s="607"/>
      <c r="G531" s="607"/>
      <c r="H531"/>
      <c r="I531"/>
      <c r="J531"/>
      <c r="K531"/>
    </row>
    <row r="532" spans="4:11" ht="12.75" hidden="1">
      <c r="D532"/>
      <c r="E532" s="607"/>
      <c r="F532" s="607"/>
      <c r="G532" s="607"/>
      <c r="H532"/>
      <c r="I532"/>
      <c r="J532"/>
      <c r="K532"/>
    </row>
    <row r="533" spans="4:11" ht="12.75" hidden="1">
      <c r="D533"/>
      <c r="E533" s="607"/>
      <c r="F533" s="607"/>
      <c r="G533" s="607"/>
      <c r="H533"/>
      <c r="I533"/>
      <c r="J533"/>
      <c r="K533"/>
    </row>
    <row r="534" spans="4:11" ht="12.75" hidden="1">
      <c r="D534"/>
      <c r="E534" s="607"/>
      <c r="F534" s="607"/>
      <c r="G534" s="607"/>
      <c r="H534"/>
      <c r="I534"/>
      <c r="J534"/>
      <c r="K534"/>
    </row>
    <row r="535" spans="4:11" ht="12.75" hidden="1">
      <c r="D535"/>
      <c r="E535" s="607"/>
      <c r="F535" s="607"/>
      <c r="G535" s="607"/>
      <c r="H535"/>
      <c r="I535"/>
      <c r="J535"/>
      <c r="K535"/>
    </row>
    <row r="536" spans="4:11" ht="12.75" hidden="1">
      <c r="D536"/>
      <c r="E536" s="607"/>
      <c r="F536" s="607"/>
      <c r="G536" s="607"/>
      <c r="H536"/>
      <c r="I536"/>
      <c r="J536"/>
      <c r="K536"/>
    </row>
    <row r="537" spans="4:11" ht="12.75" hidden="1">
      <c r="D537"/>
      <c r="E537" s="607"/>
      <c r="F537" s="607"/>
      <c r="G537" s="607"/>
      <c r="H537"/>
      <c r="I537"/>
      <c r="J537"/>
      <c r="K537"/>
    </row>
    <row r="538" spans="4:11" ht="12.75" hidden="1">
      <c r="D538"/>
      <c r="E538" s="607"/>
      <c r="F538" s="607"/>
      <c r="G538" s="607"/>
      <c r="H538"/>
      <c r="I538"/>
      <c r="J538"/>
      <c r="K538"/>
    </row>
    <row r="539" spans="4:11" ht="12.75" hidden="1">
      <c r="D539"/>
      <c r="E539" s="607"/>
      <c r="F539" s="607"/>
      <c r="G539" s="607"/>
      <c r="H539"/>
      <c r="I539"/>
      <c r="J539"/>
      <c r="K539"/>
    </row>
    <row r="540" spans="4:11" ht="12.75" hidden="1">
      <c r="D540"/>
      <c r="E540" s="607"/>
      <c r="F540" s="607"/>
      <c r="G540" s="607"/>
      <c r="H540"/>
      <c r="I540"/>
      <c r="J540"/>
      <c r="K540"/>
    </row>
    <row r="541" spans="4:11" ht="12.75" hidden="1">
      <c r="D541"/>
      <c r="E541" s="607"/>
      <c r="F541" s="607"/>
      <c r="G541" s="607"/>
      <c r="H541"/>
      <c r="I541"/>
      <c r="J541"/>
      <c r="K541"/>
    </row>
    <row r="542" spans="4:11" ht="12.75" hidden="1">
      <c r="D542"/>
      <c r="E542" s="607"/>
      <c r="F542" s="607"/>
      <c r="G542" s="607"/>
      <c r="H542"/>
      <c r="I542"/>
      <c r="J542"/>
      <c r="K542"/>
    </row>
    <row r="543" spans="4:11" ht="12.75" hidden="1">
      <c r="D543"/>
      <c r="E543" s="607"/>
      <c r="F543" s="607"/>
      <c r="G543" s="607"/>
      <c r="H543"/>
      <c r="I543"/>
      <c r="J543"/>
      <c r="K543"/>
    </row>
    <row r="544" spans="4:11" ht="12.75" hidden="1">
      <c r="D544"/>
      <c r="E544" s="607"/>
      <c r="F544" s="607"/>
      <c r="G544" s="607"/>
      <c r="H544"/>
      <c r="I544"/>
      <c r="J544"/>
      <c r="K544"/>
    </row>
    <row r="545" spans="4:11" ht="12.75" hidden="1">
      <c r="D545"/>
      <c r="E545" s="607"/>
      <c r="F545" s="607"/>
      <c r="G545" s="607"/>
      <c r="H545"/>
      <c r="I545"/>
      <c r="J545"/>
      <c r="K545"/>
    </row>
    <row r="546" spans="4:11" ht="12.75" hidden="1">
      <c r="D546"/>
      <c r="E546" s="607"/>
      <c r="F546" s="607"/>
      <c r="G546" s="607"/>
      <c r="H546"/>
      <c r="I546"/>
      <c r="J546"/>
      <c r="K546"/>
    </row>
    <row r="547" spans="4:11" ht="12.75" hidden="1">
      <c r="D547"/>
      <c r="E547" s="607"/>
      <c r="F547" s="607"/>
      <c r="G547" s="607"/>
      <c r="H547"/>
      <c r="I547"/>
      <c r="J547"/>
      <c r="K547"/>
    </row>
    <row r="548" spans="4:11" ht="12.75" hidden="1">
      <c r="D548"/>
      <c r="E548" s="607"/>
      <c r="F548" s="607"/>
      <c r="G548" s="607"/>
      <c r="H548"/>
      <c r="I548"/>
      <c r="J548"/>
      <c r="K548"/>
    </row>
    <row r="549" spans="4:11" ht="12.75" hidden="1">
      <c r="D549"/>
      <c r="E549" s="607"/>
      <c r="F549" s="607"/>
      <c r="G549" s="607"/>
      <c r="H549"/>
      <c r="I549"/>
      <c r="J549"/>
      <c r="K549"/>
    </row>
    <row r="550" spans="4:11" ht="12.75" hidden="1">
      <c r="D550"/>
      <c r="E550" s="607"/>
      <c r="F550" s="607"/>
      <c r="G550" s="607"/>
      <c r="H550"/>
      <c r="I550"/>
      <c r="J550"/>
      <c r="K550"/>
    </row>
    <row r="551" spans="4:11" ht="12.75" hidden="1">
      <c r="D551"/>
      <c r="E551" s="607"/>
      <c r="F551" s="607"/>
      <c r="G551" s="607"/>
      <c r="H551"/>
      <c r="I551"/>
      <c r="J551"/>
      <c r="K551"/>
    </row>
    <row r="552" spans="4:11" ht="12.75" hidden="1">
      <c r="D552"/>
      <c r="E552" s="607"/>
      <c r="F552" s="607"/>
      <c r="G552" s="607"/>
      <c r="H552"/>
      <c r="I552"/>
      <c r="J552"/>
      <c r="K552"/>
    </row>
    <row r="553" spans="4:11" ht="12.75" hidden="1">
      <c r="D553"/>
      <c r="E553" s="607"/>
      <c r="F553" s="607"/>
      <c r="G553" s="607"/>
      <c r="H553"/>
      <c r="I553"/>
      <c r="J553"/>
      <c r="K553"/>
    </row>
    <row r="554" spans="4:11" ht="12.75" hidden="1">
      <c r="D554"/>
      <c r="E554" s="607"/>
      <c r="F554" s="607"/>
      <c r="G554" s="607"/>
      <c r="H554"/>
      <c r="I554"/>
      <c r="J554"/>
      <c r="K554"/>
    </row>
    <row r="555" spans="4:11" ht="12.75" hidden="1">
      <c r="D555"/>
      <c r="E555" s="607"/>
      <c r="F555" s="607"/>
      <c r="G555" s="607"/>
      <c r="H555"/>
      <c r="I555"/>
      <c r="J555"/>
      <c r="K555"/>
    </row>
    <row r="556" spans="4:11" ht="12.75" hidden="1">
      <c r="D556"/>
      <c r="E556" s="607"/>
      <c r="F556" s="607"/>
      <c r="G556" s="607"/>
      <c r="H556"/>
      <c r="I556"/>
      <c r="J556"/>
      <c r="K556"/>
    </row>
    <row r="557" spans="4:11" ht="12.75" hidden="1">
      <c r="D557"/>
      <c r="E557" s="607"/>
      <c r="F557" s="607"/>
      <c r="G557" s="607"/>
      <c r="H557"/>
      <c r="I557"/>
      <c r="J557"/>
      <c r="K557"/>
    </row>
    <row r="558" spans="4:11" ht="12.75" hidden="1">
      <c r="D558"/>
      <c r="E558" s="607"/>
      <c r="F558" s="607"/>
      <c r="G558" s="607"/>
      <c r="H558"/>
      <c r="I558"/>
      <c r="J558"/>
      <c r="K558"/>
    </row>
    <row r="559" spans="4:11" ht="12.75" hidden="1">
      <c r="D559"/>
      <c r="E559" s="607"/>
      <c r="F559" s="607"/>
      <c r="G559" s="607"/>
      <c r="H559"/>
      <c r="I559"/>
      <c r="J559"/>
      <c r="K559"/>
    </row>
    <row r="560" spans="4:11" ht="12.75" hidden="1">
      <c r="D560"/>
      <c r="E560" s="607"/>
      <c r="F560" s="607"/>
      <c r="G560" s="607"/>
      <c r="H560"/>
      <c r="I560"/>
      <c r="J560"/>
      <c r="K560"/>
    </row>
    <row r="561" spans="4:11" ht="12.75" hidden="1">
      <c r="D561"/>
      <c r="E561" s="607"/>
      <c r="F561" s="607"/>
      <c r="G561" s="607"/>
      <c r="H561"/>
      <c r="I561"/>
      <c r="J561"/>
      <c r="K561"/>
    </row>
    <row r="562" spans="4:11" ht="12.75" hidden="1">
      <c r="D562"/>
      <c r="E562" s="607"/>
      <c r="F562" s="607"/>
      <c r="G562" s="607"/>
      <c r="H562"/>
      <c r="I562"/>
      <c r="J562"/>
      <c r="K562"/>
    </row>
    <row r="563" spans="4:11" ht="12.75" hidden="1">
      <c r="D563"/>
      <c r="E563" s="607"/>
      <c r="F563" s="607"/>
      <c r="G563" s="607"/>
      <c r="H563"/>
      <c r="I563"/>
      <c r="J563"/>
      <c r="K563"/>
    </row>
    <row r="564" spans="4:11" ht="12.75" hidden="1">
      <c r="D564"/>
      <c r="E564" s="607"/>
      <c r="F564" s="607"/>
      <c r="G564" s="607"/>
      <c r="H564"/>
      <c r="I564"/>
      <c r="J564"/>
      <c r="K564"/>
    </row>
    <row r="565" spans="4:11" ht="12.75" hidden="1">
      <c r="D565"/>
      <c r="E565" s="607"/>
      <c r="F565" s="607"/>
      <c r="G565" s="607"/>
      <c r="H565"/>
      <c r="I565"/>
      <c r="J565"/>
      <c r="K565"/>
    </row>
    <row r="566" spans="4:11" ht="12.75" hidden="1">
      <c r="D566"/>
      <c r="E566" s="607"/>
      <c r="F566" s="607"/>
      <c r="G566" s="607"/>
      <c r="H566"/>
      <c r="I566"/>
      <c r="J566"/>
      <c r="K566"/>
    </row>
    <row r="567" spans="4:11" ht="12.75" hidden="1">
      <c r="D567"/>
      <c r="E567" s="607"/>
      <c r="F567" s="607"/>
      <c r="G567" s="607"/>
      <c r="H567"/>
      <c r="I567"/>
      <c r="J567"/>
      <c r="K567"/>
    </row>
    <row r="568" spans="4:11" ht="12.75" hidden="1">
      <c r="D568"/>
      <c r="E568" s="607"/>
      <c r="F568" s="607"/>
      <c r="G568" s="607"/>
      <c r="H568"/>
      <c r="I568"/>
      <c r="J568"/>
      <c r="K568"/>
    </row>
    <row r="569" spans="4:11" ht="12.75" hidden="1">
      <c r="D569"/>
      <c r="E569" s="607"/>
      <c r="F569" s="607"/>
      <c r="G569" s="607"/>
      <c r="H569"/>
      <c r="I569"/>
      <c r="J569"/>
      <c r="K569"/>
    </row>
    <row r="570" spans="4:11" ht="12.75" hidden="1">
      <c r="D570"/>
      <c r="E570" s="607"/>
      <c r="F570" s="607"/>
      <c r="G570" s="607"/>
      <c r="H570"/>
      <c r="I570"/>
      <c r="J570"/>
      <c r="K570"/>
    </row>
    <row r="571" spans="4:11" ht="12.75" hidden="1">
      <c r="D571"/>
      <c r="E571" s="607"/>
      <c r="F571" s="607"/>
      <c r="G571" s="607"/>
      <c r="H571"/>
      <c r="I571"/>
      <c r="J571"/>
      <c r="K571"/>
    </row>
    <row r="572" spans="4:11" ht="12.75" hidden="1">
      <c r="D572"/>
      <c r="E572" s="607"/>
      <c r="F572" s="607"/>
      <c r="G572" s="607"/>
      <c r="H572"/>
      <c r="I572"/>
      <c r="J572"/>
      <c r="K572"/>
    </row>
    <row r="573" spans="4:11" ht="12.75" hidden="1">
      <c r="D573"/>
      <c r="E573" s="607"/>
      <c r="F573" s="607"/>
      <c r="G573" s="607"/>
      <c r="H573"/>
      <c r="I573"/>
      <c r="J573"/>
      <c r="K573"/>
    </row>
    <row r="574" spans="4:11" ht="12.75" hidden="1">
      <c r="D574"/>
      <c r="E574" s="607"/>
      <c r="F574" s="607"/>
      <c r="G574" s="607"/>
      <c r="H574"/>
      <c r="I574"/>
      <c r="J574"/>
      <c r="K574"/>
    </row>
    <row r="575" spans="4:11" ht="12.75" hidden="1">
      <c r="D575"/>
      <c r="E575" s="607"/>
      <c r="F575" s="607"/>
      <c r="G575" s="607"/>
      <c r="H575"/>
      <c r="I575"/>
      <c r="J575"/>
      <c r="K575"/>
    </row>
    <row r="576" spans="4:11" ht="12.75" hidden="1">
      <c r="D576"/>
      <c r="E576" s="607"/>
      <c r="F576" s="607"/>
      <c r="G576" s="607"/>
      <c r="H576"/>
      <c r="I576"/>
      <c r="J576"/>
      <c r="K576"/>
    </row>
    <row r="577" spans="4:11" ht="12.75" hidden="1">
      <c r="D577"/>
      <c r="E577" s="607"/>
      <c r="F577" s="607"/>
      <c r="G577" s="607"/>
      <c r="H577"/>
      <c r="I577"/>
      <c r="J577"/>
      <c r="K577"/>
    </row>
    <row r="578" spans="4:11" ht="12.75" hidden="1">
      <c r="D578"/>
      <c r="E578" s="607"/>
      <c r="F578" s="607"/>
      <c r="G578" s="607"/>
      <c r="H578"/>
      <c r="I578"/>
      <c r="J578"/>
      <c r="K578"/>
    </row>
    <row r="579" spans="4:11" ht="12.75" hidden="1">
      <c r="D579"/>
      <c r="E579" s="607"/>
      <c r="F579" s="607"/>
      <c r="G579" s="607"/>
      <c r="H579"/>
      <c r="I579"/>
      <c r="J579"/>
      <c r="K579"/>
    </row>
    <row r="580" spans="4:11" ht="12.75" hidden="1">
      <c r="D580"/>
      <c r="E580" s="607"/>
      <c r="F580" s="607"/>
      <c r="G580" s="607"/>
      <c r="H580"/>
      <c r="I580"/>
      <c r="J580"/>
      <c r="K580"/>
    </row>
    <row r="581" spans="4:11" ht="12.75" hidden="1">
      <c r="D581"/>
      <c r="E581" s="607"/>
      <c r="F581" s="607"/>
      <c r="G581" s="607"/>
      <c r="H581"/>
      <c r="I581"/>
      <c r="J581"/>
      <c r="K581"/>
    </row>
    <row r="582" spans="4:11" ht="12.75" hidden="1">
      <c r="D582"/>
      <c r="E582" s="607"/>
      <c r="F582" s="607"/>
      <c r="G582" s="607"/>
      <c r="H582"/>
      <c r="I582"/>
      <c r="J582"/>
      <c r="K582"/>
    </row>
    <row r="583" spans="4:11" ht="12.75" hidden="1">
      <c r="D583"/>
      <c r="E583" s="607"/>
      <c r="F583" s="607"/>
      <c r="G583" s="607"/>
      <c r="H583"/>
      <c r="I583"/>
      <c r="J583"/>
      <c r="K583"/>
    </row>
    <row r="584" spans="4:11" ht="12.75" hidden="1">
      <c r="D584"/>
      <c r="E584" s="607"/>
      <c r="F584" s="607"/>
      <c r="G584" s="607"/>
      <c r="H584"/>
      <c r="I584"/>
      <c r="J584"/>
      <c r="K584"/>
    </row>
    <row r="585" spans="4:11" ht="12.75" hidden="1">
      <c r="D585"/>
      <c r="E585" s="607"/>
      <c r="F585" s="607"/>
      <c r="G585" s="607"/>
      <c r="H585"/>
      <c r="I585"/>
      <c r="J585"/>
      <c r="K585"/>
    </row>
    <row r="586" spans="4:11" ht="12.75" hidden="1">
      <c r="D586"/>
      <c r="E586" s="607"/>
      <c r="F586" s="607"/>
      <c r="G586" s="607"/>
      <c r="H586"/>
      <c r="I586"/>
      <c r="J586"/>
      <c r="K586"/>
    </row>
    <row r="587" spans="4:11" ht="12.75" hidden="1">
      <c r="D587"/>
      <c r="E587" s="607"/>
      <c r="F587" s="607"/>
      <c r="G587" s="607"/>
      <c r="H587"/>
      <c r="I587"/>
      <c r="J587"/>
      <c r="K587"/>
    </row>
    <row r="588" spans="4:11" ht="12.75" hidden="1">
      <c r="D588"/>
      <c r="E588" s="607"/>
      <c r="F588" s="607"/>
      <c r="G588" s="607"/>
      <c r="H588"/>
      <c r="I588"/>
      <c r="J588"/>
      <c r="K588"/>
    </row>
    <row r="589" spans="4:11" ht="12.75" hidden="1">
      <c r="D589"/>
      <c r="E589" s="607"/>
      <c r="F589" s="607"/>
      <c r="G589" s="607"/>
      <c r="H589"/>
      <c r="I589"/>
      <c r="J589"/>
      <c r="K589"/>
    </row>
    <row r="590" spans="4:11" ht="12.75" hidden="1">
      <c r="D590"/>
      <c r="E590" s="607"/>
      <c r="F590" s="607"/>
      <c r="G590" s="607"/>
      <c r="H590"/>
      <c r="I590"/>
      <c r="J590"/>
      <c r="K590"/>
    </row>
    <row r="591" spans="4:11" ht="12.75" hidden="1">
      <c r="D591"/>
      <c r="E591" s="607"/>
      <c r="F591" s="607"/>
      <c r="G591" s="607"/>
      <c r="H591"/>
      <c r="I591"/>
      <c r="J591"/>
      <c r="K591"/>
    </row>
    <row r="592" spans="4:11" ht="12.75" hidden="1">
      <c r="D592"/>
      <c r="E592" s="607"/>
      <c r="F592" s="607"/>
      <c r="G592" s="607"/>
      <c r="H592"/>
      <c r="I592"/>
      <c r="J592"/>
      <c r="K592"/>
    </row>
    <row r="593" spans="4:11" ht="12.75" hidden="1">
      <c r="D593"/>
      <c r="E593" s="607"/>
      <c r="F593" s="607"/>
      <c r="G593" s="607"/>
      <c r="H593"/>
      <c r="I593"/>
      <c r="J593"/>
      <c r="K593"/>
    </row>
    <row r="594" spans="4:11" ht="12.75" hidden="1">
      <c r="D594"/>
      <c r="E594" s="607"/>
      <c r="F594" s="607"/>
      <c r="G594" s="607"/>
      <c r="H594"/>
      <c r="I594"/>
      <c r="J594"/>
      <c r="K594"/>
    </row>
    <row r="595" spans="4:11" ht="12.75" hidden="1">
      <c r="D595"/>
      <c r="E595" s="607"/>
      <c r="F595" s="607"/>
      <c r="G595" s="607"/>
      <c r="H595"/>
      <c r="I595"/>
      <c r="J595"/>
      <c r="K595"/>
    </row>
    <row r="596" spans="4:11" ht="12.75" hidden="1">
      <c r="D596"/>
      <c r="E596" s="607"/>
      <c r="F596" s="607"/>
      <c r="G596" s="607"/>
      <c r="H596"/>
      <c r="I596"/>
      <c r="J596"/>
      <c r="K596"/>
    </row>
    <row r="597" spans="4:11" ht="12.75" hidden="1">
      <c r="D597"/>
      <c r="E597" s="607"/>
      <c r="F597" s="607"/>
      <c r="G597" s="607"/>
      <c r="H597"/>
      <c r="I597"/>
      <c r="J597"/>
      <c r="K597"/>
    </row>
    <row r="598" spans="4:11" ht="12.75" hidden="1">
      <c r="D598"/>
      <c r="E598" s="607"/>
      <c r="F598" s="607"/>
      <c r="G598" s="607"/>
      <c r="H598"/>
      <c r="I598"/>
      <c r="J598"/>
      <c r="K598"/>
    </row>
    <row r="599" spans="4:11" ht="12.75" hidden="1">
      <c r="D599"/>
      <c r="E599" s="607"/>
      <c r="F599" s="607"/>
      <c r="G599" s="607"/>
      <c r="H599"/>
      <c r="I599"/>
      <c r="J599"/>
      <c r="K599"/>
    </row>
    <row r="600" spans="4:11" ht="12.75" hidden="1">
      <c r="D600"/>
      <c r="E600" s="607"/>
      <c r="F600" s="607"/>
      <c r="G600" s="607"/>
      <c r="H600"/>
      <c r="I600"/>
      <c r="J600"/>
      <c r="K600"/>
    </row>
    <row r="601" spans="4:11" ht="12.75" hidden="1">
      <c r="D601"/>
      <c r="E601" s="607"/>
      <c r="F601" s="607"/>
      <c r="G601" s="607"/>
      <c r="H601"/>
      <c r="I601"/>
      <c r="J601"/>
      <c r="K601"/>
    </row>
    <row r="602" spans="4:11" ht="12.75" hidden="1">
      <c r="D602"/>
      <c r="E602" s="607"/>
      <c r="F602" s="607"/>
      <c r="G602" s="607"/>
      <c r="H602"/>
      <c r="I602"/>
      <c r="J602"/>
      <c r="K602"/>
    </row>
    <row r="603" spans="4:11" ht="12.75" hidden="1">
      <c r="D603"/>
      <c r="E603" s="607"/>
      <c r="F603" s="607"/>
      <c r="G603" s="607"/>
      <c r="H603"/>
      <c r="I603"/>
      <c r="J603"/>
      <c r="K603"/>
    </row>
    <row r="604" spans="4:11" ht="12.75" hidden="1">
      <c r="D604"/>
      <c r="E604" s="607"/>
      <c r="F604" s="607"/>
      <c r="G604" s="607"/>
      <c r="H604"/>
      <c r="I604"/>
      <c r="J604"/>
      <c r="K604"/>
    </row>
    <row r="605" spans="4:11" ht="12.75" hidden="1">
      <c r="D605"/>
      <c r="E605" s="607"/>
      <c r="F605" s="607"/>
      <c r="G605" s="607"/>
      <c r="H605"/>
      <c r="I605"/>
      <c r="J605"/>
      <c r="K605"/>
    </row>
    <row r="606" spans="4:11" ht="12.75" hidden="1">
      <c r="D606"/>
      <c r="E606" s="607"/>
      <c r="F606" s="607"/>
      <c r="G606" s="607"/>
      <c r="H606"/>
      <c r="I606"/>
      <c r="J606"/>
      <c r="K606"/>
    </row>
    <row r="607" spans="4:11" ht="12.75" hidden="1">
      <c r="D607"/>
      <c r="E607" s="607"/>
      <c r="F607" s="607"/>
      <c r="G607" s="607"/>
      <c r="H607"/>
      <c r="I607"/>
      <c r="J607"/>
      <c r="K607"/>
    </row>
    <row r="608" spans="4:11" ht="12.75" hidden="1">
      <c r="D608"/>
      <c r="E608" s="607"/>
      <c r="F608" s="607"/>
      <c r="G608" s="607"/>
      <c r="H608"/>
      <c r="I608"/>
      <c r="J608"/>
      <c r="K608"/>
    </row>
    <row r="609" spans="4:11" ht="12.75" hidden="1">
      <c r="D609"/>
      <c r="E609" s="607"/>
      <c r="F609" s="607"/>
      <c r="G609" s="607"/>
      <c r="H609"/>
      <c r="I609"/>
      <c r="J609"/>
      <c r="K609"/>
    </row>
    <row r="610" spans="4:11" ht="12.75" hidden="1">
      <c r="D610"/>
      <c r="E610" s="607"/>
      <c r="F610" s="607"/>
      <c r="G610" s="607"/>
      <c r="H610"/>
      <c r="I610"/>
      <c r="J610"/>
      <c r="K610"/>
    </row>
    <row r="611" spans="4:11" ht="12.75" hidden="1">
      <c r="D611"/>
      <c r="E611" s="607"/>
      <c r="F611" s="607"/>
      <c r="G611" s="607"/>
      <c r="H611"/>
      <c r="I611"/>
      <c r="J611"/>
      <c r="K611"/>
    </row>
    <row r="612" spans="4:11" ht="12.75" hidden="1">
      <c r="D612"/>
      <c r="E612" s="607"/>
      <c r="F612" s="607"/>
      <c r="G612" s="607"/>
      <c r="H612"/>
      <c r="I612"/>
      <c r="J612"/>
      <c r="K612"/>
    </row>
    <row r="613" spans="4:11" ht="12.75" hidden="1">
      <c r="D613"/>
      <c r="E613" s="607"/>
      <c r="F613" s="607"/>
      <c r="G613" s="607"/>
      <c r="H613"/>
      <c r="I613"/>
      <c r="J613"/>
      <c r="K613"/>
    </row>
    <row r="614" spans="4:11" ht="12.75" hidden="1">
      <c r="D614"/>
      <c r="E614" s="607"/>
      <c r="F614" s="607"/>
      <c r="G614" s="607"/>
      <c r="H614"/>
      <c r="I614"/>
      <c r="J614"/>
      <c r="K614"/>
    </row>
    <row r="615" spans="4:11" ht="12.75" hidden="1">
      <c r="D615"/>
      <c r="E615" s="607"/>
      <c r="F615" s="607"/>
      <c r="G615" s="607"/>
      <c r="H615"/>
      <c r="I615"/>
      <c r="J615"/>
      <c r="K615"/>
    </row>
    <row r="616" spans="4:11" ht="12.75" hidden="1">
      <c r="D616"/>
      <c r="E616" s="607"/>
      <c r="F616" s="607"/>
      <c r="G616" s="607"/>
      <c r="H616"/>
      <c r="I616"/>
      <c r="J616"/>
      <c r="K616"/>
    </row>
    <row r="617" spans="4:11" ht="12.75" hidden="1">
      <c r="D617"/>
      <c r="E617" s="607"/>
      <c r="F617" s="607"/>
      <c r="G617" s="607"/>
      <c r="H617"/>
      <c r="I617"/>
      <c r="J617"/>
      <c r="K617"/>
    </row>
    <row r="618" spans="4:11" ht="12.75" hidden="1">
      <c r="D618"/>
      <c r="E618" s="607"/>
      <c r="F618" s="607"/>
      <c r="G618" s="607"/>
      <c r="H618"/>
      <c r="I618"/>
      <c r="J618"/>
      <c r="K618"/>
    </row>
    <row r="619" spans="4:11" ht="12.75" hidden="1">
      <c r="D619"/>
      <c r="E619" s="607"/>
      <c r="F619" s="607"/>
      <c r="G619" s="607"/>
      <c r="H619"/>
      <c r="I619"/>
      <c r="J619"/>
      <c r="K619"/>
    </row>
    <row r="620" spans="4:11" ht="12.75" hidden="1">
      <c r="D620"/>
      <c r="E620" s="607"/>
      <c r="F620" s="607"/>
      <c r="G620" s="607"/>
      <c r="H620"/>
      <c r="I620"/>
      <c r="J620"/>
      <c r="K620"/>
    </row>
    <row r="621" spans="4:11" ht="12.75" hidden="1">
      <c r="D621"/>
      <c r="E621" s="607"/>
      <c r="F621" s="607"/>
      <c r="G621" s="607"/>
      <c r="H621"/>
      <c r="I621"/>
      <c r="J621"/>
      <c r="K621"/>
    </row>
    <row r="622" spans="4:11" ht="12.75" hidden="1">
      <c r="D622"/>
      <c r="E622" s="607"/>
      <c r="F622" s="607"/>
      <c r="G622" s="607"/>
      <c r="H622"/>
      <c r="I622"/>
      <c r="J622"/>
      <c r="K622"/>
    </row>
    <row r="623" spans="4:11" ht="12.75" hidden="1">
      <c r="D623"/>
      <c r="E623" s="607"/>
      <c r="F623" s="607"/>
      <c r="G623" s="607"/>
      <c r="H623"/>
      <c r="I623"/>
      <c r="J623"/>
      <c r="K623"/>
    </row>
    <row r="624" spans="4:11" ht="12.75" hidden="1">
      <c r="D624"/>
      <c r="E624" s="607"/>
      <c r="F624" s="607"/>
      <c r="G624" s="607"/>
      <c r="H624"/>
      <c r="I624"/>
      <c r="J624"/>
      <c r="K624"/>
    </row>
    <row r="625" spans="4:11" ht="12.75" hidden="1">
      <c r="D625"/>
      <c r="E625" s="607"/>
      <c r="F625" s="607"/>
      <c r="G625" s="607"/>
      <c r="H625"/>
      <c r="I625"/>
      <c r="J625"/>
      <c r="K625"/>
    </row>
    <row r="626" spans="4:11" ht="12.75" hidden="1">
      <c r="D626"/>
      <c r="E626" s="607"/>
      <c r="F626" s="607"/>
      <c r="G626" s="607"/>
      <c r="H626"/>
      <c r="I626"/>
      <c r="J626"/>
      <c r="K626"/>
    </row>
    <row r="627" spans="4:11" ht="12.75" hidden="1">
      <c r="D627"/>
      <c r="E627" s="607"/>
      <c r="F627" s="607"/>
      <c r="G627" s="607"/>
      <c r="H627"/>
      <c r="I627"/>
      <c r="J627"/>
      <c r="K627"/>
    </row>
    <row r="628" spans="4:11" ht="12.75" hidden="1">
      <c r="D628"/>
      <c r="E628" s="607"/>
      <c r="F628" s="607"/>
      <c r="G628" s="607"/>
      <c r="H628"/>
      <c r="I628"/>
      <c r="J628"/>
      <c r="K628"/>
    </row>
    <row r="629" spans="4:11" ht="12.75" hidden="1">
      <c r="D629"/>
      <c r="E629" s="607"/>
      <c r="F629" s="607"/>
      <c r="G629" s="607"/>
      <c r="H629"/>
      <c r="I629"/>
      <c r="J629"/>
      <c r="K629"/>
    </row>
    <row r="630" spans="4:11" ht="12.75" hidden="1">
      <c r="D630"/>
      <c r="E630" s="607"/>
      <c r="F630" s="607"/>
      <c r="G630" s="607"/>
      <c r="H630"/>
      <c r="I630"/>
      <c r="J630"/>
      <c r="K630"/>
    </row>
    <row r="631" spans="4:11" ht="12.75" hidden="1">
      <c r="D631"/>
      <c r="E631" s="607"/>
      <c r="F631" s="607"/>
      <c r="G631" s="607"/>
      <c r="H631"/>
      <c r="I631"/>
      <c r="J631"/>
      <c r="K631"/>
    </row>
    <row r="632" spans="4:11" ht="12.75" hidden="1">
      <c r="D632"/>
      <c r="E632" s="607"/>
      <c r="F632" s="607"/>
      <c r="G632" s="607"/>
      <c r="H632"/>
      <c r="I632"/>
      <c r="J632"/>
      <c r="K632"/>
    </row>
    <row r="633" spans="4:11" ht="12.75" hidden="1">
      <c r="D633"/>
      <c r="E633" s="607"/>
      <c r="F633" s="607"/>
      <c r="G633" s="607"/>
      <c r="H633"/>
      <c r="I633"/>
      <c r="J633"/>
      <c r="K633"/>
    </row>
    <row r="634" spans="4:11" ht="12.75" hidden="1">
      <c r="D634"/>
      <c r="E634" s="607"/>
      <c r="F634" s="607"/>
      <c r="G634" s="607"/>
      <c r="H634"/>
      <c r="I634"/>
      <c r="J634"/>
      <c r="K634"/>
    </row>
    <row r="635" spans="4:11" ht="12.75" hidden="1">
      <c r="D635"/>
      <c r="E635" s="607"/>
      <c r="F635" s="607"/>
      <c r="G635" s="607"/>
      <c r="H635"/>
      <c r="I635"/>
      <c r="J635"/>
      <c r="K635"/>
    </row>
    <row r="636" spans="4:11" ht="12.75" hidden="1">
      <c r="D636"/>
      <c r="E636" s="607"/>
      <c r="F636" s="607"/>
      <c r="G636" s="607"/>
      <c r="H636"/>
      <c r="I636"/>
      <c r="J636"/>
      <c r="K636"/>
    </row>
    <row r="637" spans="4:11" ht="12.75" hidden="1">
      <c r="D637"/>
      <c r="E637" s="607"/>
      <c r="F637" s="607"/>
      <c r="G637" s="607"/>
      <c r="H637"/>
      <c r="I637"/>
      <c r="J637"/>
      <c r="K637"/>
    </row>
    <row r="638" spans="4:11" ht="12.75" hidden="1">
      <c r="D638"/>
      <c r="E638" s="607"/>
      <c r="F638" s="607"/>
      <c r="G638" s="607"/>
      <c r="H638"/>
      <c r="I638"/>
      <c r="J638"/>
      <c r="K638"/>
    </row>
    <row r="639" spans="4:11" ht="12.75" hidden="1">
      <c r="D639"/>
      <c r="E639" s="607"/>
      <c r="F639" s="607"/>
      <c r="G639" s="607"/>
      <c r="H639"/>
      <c r="I639"/>
      <c r="J639"/>
      <c r="K639"/>
    </row>
    <row r="640" spans="4:11" ht="12.75" hidden="1">
      <c r="D640"/>
      <c r="E640" s="607"/>
      <c r="F640" s="607"/>
      <c r="G640" s="607"/>
      <c r="H640"/>
      <c r="I640"/>
      <c r="J640"/>
      <c r="K640"/>
    </row>
    <row r="641" spans="4:11" ht="12.75" hidden="1">
      <c r="D641"/>
      <c r="E641" s="607"/>
      <c r="F641" s="607"/>
      <c r="G641" s="607"/>
      <c r="H641"/>
      <c r="I641"/>
      <c r="J641"/>
      <c r="K641"/>
    </row>
    <row r="642" spans="4:11" ht="12.75" hidden="1">
      <c r="D642"/>
      <c r="E642" s="607"/>
      <c r="F642" s="607"/>
      <c r="G642" s="607"/>
      <c r="H642"/>
      <c r="I642"/>
      <c r="J642"/>
      <c r="K642"/>
    </row>
    <row r="643" spans="4:11" ht="12.75" hidden="1">
      <c r="D643"/>
      <c r="E643" s="607"/>
      <c r="F643" s="607"/>
      <c r="G643" s="607"/>
      <c r="H643"/>
      <c r="I643"/>
      <c r="J643"/>
      <c r="K643"/>
    </row>
    <row r="644" spans="4:11" ht="12.75" hidden="1">
      <c r="D644"/>
      <c r="E644" s="607"/>
      <c r="F644" s="607"/>
      <c r="G644" s="607"/>
      <c r="H644"/>
      <c r="I644"/>
      <c r="J644"/>
      <c r="K644"/>
    </row>
    <row r="645" spans="4:11" ht="12.75" hidden="1">
      <c r="D645"/>
      <c r="E645" s="607"/>
      <c r="F645" s="607"/>
      <c r="G645" s="607"/>
      <c r="H645"/>
      <c r="I645"/>
      <c r="J645"/>
      <c r="K645"/>
    </row>
    <row r="646" spans="4:11" ht="12.75" hidden="1">
      <c r="D646"/>
      <c r="E646" s="607"/>
      <c r="F646" s="607"/>
      <c r="G646" s="607"/>
      <c r="H646"/>
      <c r="I646"/>
      <c r="J646"/>
      <c r="K646"/>
    </row>
    <row r="647" spans="4:11" ht="12.75" hidden="1">
      <c r="D647"/>
      <c r="E647" s="607"/>
      <c r="F647" s="607"/>
      <c r="G647" s="607"/>
      <c r="H647"/>
      <c r="I647"/>
      <c r="J647"/>
      <c r="K647"/>
    </row>
    <row r="648" spans="4:11" ht="12.75" hidden="1">
      <c r="D648"/>
      <c r="E648" s="607"/>
      <c r="F648" s="607"/>
      <c r="G648" s="607"/>
      <c r="H648"/>
      <c r="I648"/>
      <c r="J648"/>
      <c r="K648"/>
    </row>
    <row r="649" spans="4:11" ht="12.75" hidden="1">
      <c r="D649"/>
      <c r="E649" s="607"/>
      <c r="F649" s="607"/>
      <c r="G649" s="607"/>
      <c r="H649"/>
      <c r="I649"/>
      <c r="J649"/>
      <c r="K649"/>
    </row>
    <row r="650" spans="4:11" ht="12.75" hidden="1">
      <c r="D650"/>
      <c r="E650" s="607"/>
      <c r="F650" s="607"/>
      <c r="G650" s="607"/>
      <c r="H650"/>
      <c r="I650"/>
      <c r="J650"/>
      <c r="K650"/>
    </row>
    <row r="651" spans="4:11" ht="12.75" hidden="1">
      <c r="D651"/>
      <c r="E651" s="607"/>
      <c r="F651" s="607"/>
      <c r="G651" s="607"/>
      <c r="H651"/>
      <c r="I651"/>
      <c r="J651"/>
      <c r="K651"/>
    </row>
    <row r="652" spans="4:11" ht="12.75" hidden="1">
      <c r="D652"/>
      <c r="E652" s="607"/>
      <c r="F652" s="607"/>
      <c r="G652" s="607"/>
      <c r="H652"/>
      <c r="I652"/>
      <c r="J652"/>
      <c r="K652"/>
    </row>
    <row r="653" spans="4:11" ht="12.75" hidden="1">
      <c r="D653"/>
      <c r="E653" s="607"/>
      <c r="F653" s="607"/>
      <c r="G653" s="607"/>
      <c r="H653"/>
      <c r="I653"/>
      <c r="J653"/>
      <c r="K653"/>
    </row>
    <row r="654" spans="4:11" ht="12.75" hidden="1">
      <c r="D654"/>
      <c r="E654" s="607"/>
      <c r="F654" s="607"/>
      <c r="G654" s="607"/>
      <c r="H654"/>
      <c r="I654"/>
      <c r="J654"/>
      <c r="K654"/>
    </row>
    <row r="655" spans="4:11" ht="12.75" hidden="1">
      <c r="D655"/>
      <c r="E655" s="607"/>
      <c r="F655" s="607"/>
      <c r="G655" s="607"/>
      <c r="H655"/>
      <c r="I655"/>
      <c r="J655"/>
      <c r="K655"/>
    </row>
    <row r="656" spans="4:11" ht="12.75" hidden="1">
      <c r="D656"/>
      <c r="E656" s="607"/>
      <c r="F656" s="607"/>
      <c r="G656" s="607"/>
      <c r="H656"/>
      <c r="I656"/>
      <c r="J656"/>
      <c r="K656"/>
    </row>
    <row r="657" spans="4:11" ht="12.75" hidden="1">
      <c r="D657"/>
      <c r="E657" s="607"/>
      <c r="F657" s="607"/>
      <c r="G657" s="607"/>
      <c r="H657"/>
      <c r="I657"/>
      <c r="J657"/>
      <c r="K657"/>
    </row>
    <row r="658" spans="4:11" ht="12.75" hidden="1">
      <c r="D658"/>
      <c r="E658" s="607"/>
      <c r="F658" s="607"/>
      <c r="G658" s="607"/>
      <c r="H658"/>
      <c r="I658"/>
      <c r="J658"/>
      <c r="K658"/>
    </row>
    <row r="659" spans="4:11" ht="12.75" hidden="1">
      <c r="D659"/>
      <c r="E659" s="607"/>
      <c r="F659" s="607"/>
      <c r="G659" s="607"/>
      <c r="H659"/>
      <c r="I659"/>
      <c r="J659"/>
      <c r="K659"/>
    </row>
    <row r="660" spans="4:11" ht="12.75" hidden="1">
      <c r="D660"/>
      <c r="E660" s="607"/>
      <c r="F660" s="607"/>
      <c r="G660" s="607"/>
      <c r="H660"/>
      <c r="I660"/>
      <c r="J660"/>
      <c r="K660"/>
    </row>
    <row r="661" spans="4:11" ht="12.75" hidden="1">
      <c r="D661"/>
      <c r="E661" s="607"/>
      <c r="F661" s="607"/>
      <c r="G661" s="607"/>
      <c r="H661"/>
      <c r="I661"/>
      <c r="J661"/>
      <c r="K661"/>
    </row>
    <row r="662" spans="4:11" ht="12.75" hidden="1">
      <c r="D662"/>
      <c r="E662" s="607"/>
      <c r="F662" s="607"/>
      <c r="G662" s="607"/>
      <c r="H662"/>
      <c r="I662"/>
      <c r="J662"/>
      <c r="K662"/>
    </row>
    <row r="663" spans="4:11" ht="12.75" hidden="1">
      <c r="D663"/>
      <c r="E663" s="607"/>
      <c r="F663" s="607"/>
      <c r="G663" s="607"/>
      <c r="H663"/>
      <c r="I663"/>
      <c r="J663"/>
      <c r="K663"/>
    </row>
    <row r="664" spans="4:11" ht="12.75" hidden="1">
      <c r="D664"/>
      <c r="E664" s="607"/>
      <c r="F664" s="607"/>
      <c r="G664" s="607"/>
      <c r="H664"/>
      <c r="I664"/>
      <c r="J664"/>
      <c r="K664"/>
    </row>
    <row r="665" spans="4:11" ht="12.75" hidden="1">
      <c r="D665"/>
      <c r="E665" s="607"/>
      <c r="F665" s="607"/>
      <c r="G665" s="607"/>
      <c r="H665"/>
      <c r="I665"/>
      <c r="J665"/>
      <c r="K665"/>
    </row>
    <row r="666" spans="4:11" ht="12.75" hidden="1">
      <c r="D666"/>
      <c r="E666" s="607"/>
      <c r="F666" s="607"/>
      <c r="G666" s="607"/>
      <c r="H666"/>
      <c r="I666"/>
      <c r="J666"/>
      <c r="K666"/>
    </row>
    <row r="667" spans="4:11" ht="12.75" hidden="1">
      <c r="D667"/>
      <c r="E667" s="607"/>
      <c r="F667" s="607"/>
      <c r="G667" s="607"/>
      <c r="H667"/>
      <c r="I667"/>
      <c r="J667"/>
      <c r="K667"/>
    </row>
    <row r="668" spans="4:11" ht="12.75" hidden="1">
      <c r="D668"/>
      <c r="E668" s="607"/>
      <c r="F668" s="607"/>
      <c r="G668" s="607"/>
      <c r="H668"/>
      <c r="I668"/>
      <c r="J668"/>
      <c r="K668"/>
    </row>
    <row r="669" spans="4:11" ht="12.75" hidden="1">
      <c r="D669"/>
      <c r="E669" s="607"/>
      <c r="F669" s="607"/>
      <c r="G669" s="607"/>
      <c r="H669"/>
      <c r="I669"/>
      <c r="J669"/>
      <c r="K669"/>
    </row>
    <row r="670" spans="4:11" ht="12.75" hidden="1">
      <c r="D670"/>
      <c r="E670" s="607"/>
      <c r="F670" s="607"/>
      <c r="G670" s="607"/>
      <c r="H670"/>
      <c r="I670"/>
      <c r="J670"/>
      <c r="K670"/>
    </row>
    <row r="671" spans="4:11" ht="12.75" hidden="1">
      <c r="D671"/>
      <c r="E671" s="607"/>
      <c r="F671" s="607"/>
      <c r="G671" s="607"/>
      <c r="H671"/>
      <c r="I671"/>
      <c r="J671"/>
      <c r="K671"/>
    </row>
    <row r="672" spans="4:11" ht="12.75" hidden="1">
      <c r="D672"/>
      <c r="E672" s="607"/>
      <c r="F672" s="607"/>
      <c r="G672" s="607"/>
      <c r="H672"/>
      <c r="I672"/>
      <c r="J672"/>
      <c r="K672"/>
    </row>
    <row r="673" spans="4:11" ht="12.75" hidden="1">
      <c r="D673"/>
      <c r="E673" s="607"/>
      <c r="F673" s="607"/>
      <c r="G673" s="607"/>
      <c r="H673"/>
      <c r="I673"/>
      <c r="J673"/>
      <c r="K673"/>
    </row>
    <row r="674" spans="4:11" ht="12.75" hidden="1">
      <c r="D674"/>
      <c r="E674" s="607"/>
      <c r="F674" s="607"/>
      <c r="G674" s="607"/>
      <c r="H674"/>
      <c r="I674"/>
      <c r="J674"/>
      <c r="K674"/>
    </row>
    <row r="675" spans="4:11" ht="12.75" hidden="1">
      <c r="D675"/>
      <c r="E675" s="607"/>
      <c r="F675" s="607"/>
      <c r="G675" s="607"/>
      <c r="H675"/>
      <c r="I675"/>
      <c r="J675"/>
      <c r="K675"/>
    </row>
    <row r="676" spans="4:11" ht="12.75" hidden="1">
      <c r="D676"/>
      <c r="E676" s="607"/>
      <c r="F676" s="607"/>
      <c r="G676" s="607"/>
      <c r="H676"/>
      <c r="I676"/>
      <c r="J676"/>
      <c r="K676"/>
    </row>
    <row r="677" spans="4:11" ht="12.75" hidden="1">
      <c r="D677"/>
      <c r="E677" s="607"/>
      <c r="F677" s="607"/>
      <c r="G677" s="607"/>
      <c r="H677"/>
      <c r="I677"/>
      <c r="J677"/>
      <c r="K677"/>
    </row>
    <row r="678" spans="4:11" ht="12.75" hidden="1">
      <c r="D678"/>
      <c r="E678" s="607"/>
      <c r="F678" s="607"/>
      <c r="G678" s="607"/>
      <c r="H678"/>
      <c r="I678"/>
      <c r="J678"/>
      <c r="K678"/>
    </row>
    <row r="679" spans="4:11" ht="12.75" hidden="1">
      <c r="D679"/>
      <c r="E679" s="607"/>
      <c r="F679" s="607"/>
      <c r="G679" s="607"/>
      <c r="H679"/>
      <c r="I679"/>
      <c r="J679"/>
      <c r="K679"/>
    </row>
    <row r="680" spans="4:11" ht="12.75" hidden="1">
      <c r="D680"/>
      <c r="E680" s="607"/>
      <c r="F680" s="607"/>
      <c r="G680" s="607"/>
      <c r="H680"/>
      <c r="I680"/>
      <c r="J680"/>
      <c r="K680"/>
    </row>
    <row r="681" spans="4:11" ht="12.75" hidden="1">
      <c r="D681"/>
      <c r="E681" s="607"/>
      <c r="F681" s="607"/>
      <c r="G681" s="607"/>
      <c r="H681"/>
      <c r="I681"/>
      <c r="J681"/>
      <c r="K681"/>
    </row>
    <row r="682" spans="4:11" ht="12.75" hidden="1">
      <c r="D682"/>
      <c r="E682" s="607"/>
      <c r="F682" s="607"/>
      <c r="G682" s="607"/>
      <c r="H682"/>
      <c r="I682"/>
      <c r="J682"/>
      <c r="K682"/>
    </row>
    <row r="683" spans="4:11" ht="12.75" hidden="1">
      <c r="D683"/>
      <c r="E683" s="607"/>
      <c r="F683" s="607"/>
      <c r="G683" s="607"/>
      <c r="H683"/>
      <c r="I683"/>
      <c r="J683"/>
      <c r="K683"/>
    </row>
    <row r="684" spans="4:11" ht="12.75" hidden="1">
      <c r="D684"/>
      <c r="E684" s="607"/>
      <c r="F684" s="607"/>
      <c r="G684" s="607"/>
      <c r="H684"/>
      <c r="I684"/>
      <c r="J684"/>
      <c r="K684"/>
    </row>
    <row r="685" spans="4:11" ht="12.75" hidden="1">
      <c r="D685"/>
      <c r="E685" s="607"/>
      <c r="F685" s="607"/>
      <c r="G685" s="607"/>
      <c r="H685"/>
      <c r="I685"/>
      <c r="J685"/>
      <c r="K685"/>
    </row>
    <row r="686" spans="4:11" ht="12.75" hidden="1">
      <c r="D686"/>
      <c r="E686" s="607"/>
      <c r="F686" s="607"/>
      <c r="G686" s="607"/>
      <c r="H686"/>
      <c r="I686"/>
      <c r="J686"/>
      <c r="K686"/>
    </row>
    <row r="687" spans="4:11" ht="12.75" hidden="1">
      <c r="D687"/>
      <c r="E687" s="607"/>
      <c r="F687" s="607"/>
      <c r="G687" s="607"/>
      <c r="H687"/>
      <c r="I687"/>
      <c r="J687"/>
      <c r="K687"/>
    </row>
    <row r="688" spans="4:11" ht="12.75" hidden="1">
      <c r="D688"/>
      <c r="E688" s="607"/>
      <c r="F688" s="607"/>
      <c r="G688" s="607"/>
      <c r="H688"/>
      <c r="I688"/>
      <c r="J688"/>
      <c r="K688"/>
    </row>
    <row r="689" spans="4:11" ht="12.75" hidden="1">
      <c r="D689"/>
      <c r="E689" s="607"/>
      <c r="F689" s="607"/>
      <c r="G689" s="607"/>
      <c r="H689"/>
      <c r="I689"/>
      <c r="J689"/>
      <c r="K689"/>
    </row>
    <row r="690" spans="4:11" ht="12.75" hidden="1">
      <c r="D690"/>
      <c r="E690" s="607"/>
      <c r="F690" s="607"/>
      <c r="G690" s="607"/>
      <c r="H690"/>
      <c r="I690"/>
      <c r="J690"/>
      <c r="K690"/>
    </row>
    <row r="691" spans="4:11" ht="12.75" hidden="1">
      <c r="D691"/>
      <c r="E691" s="607"/>
      <c r="F691" s="607"/>
      <c r="G691" s="607"/>
      <c r="H691"/>
      <c r="I691"/>
      <c r="J691"/>
      <c r="K691"/>
    </row>
    <row r="692" spans="4:11" ht="12.75" hidden="1">
      <c r="D692"/>
      <c r="E692" s="607"/>
      <c r="F692" s="607"/>
      <c r="G692" s="607"/>
      <c r="H692"/>
      <c r="I692"/>
      <c r="J692"/>
      <c r="K692"/>
    </row>
    <row r="693" spans="4:11" ht="12.75" hidden="1">
      <c r="D693"/>
      <c r="E693" s="607"/>
      <c r="F693" s="607"/>
      <c r="G693" s="607"/>
      <c r="H693"/>
      <c r="I693"/>
      <c r="J693"/>
      <c r="K693"/>
    </row>
    <row r="694" spans="4:11" ht="12.75" hidden="1">
      <c r="D694"/>
      <c r="E694" s="607"/>
      <c r="F694" s="607"/>
      <c r="G694" s="607"/>
      <c r="H694"/>
      <c r="I694"/>
      <c r="J694"/>
      <c r="K694"/>
    </row>
    <row r="695" spans="4:11" ht="12.75" hidden="1">
      <c r="D695"/>
      <c r="E695" s="607"/>
      <c r="F695" s="607"/>
      <c r="G695" s="607"/>
      <c r="H695"/>
      <c r="I695"/>
      <c r="J695"/>
      <c r="K695"/>
    </row>
    <row r="696" spans="4:11" ht="12.75" hidden="1">
      <c r="D696"/>
      <c r="E696" s="607"/>
      <c r="F696" s="607"/>
      <c r="G696" s="607"/>
      <c r="H696"/>
      <c r="I696"/>
      <c r="J696"/>
      <c r="K696"/>
    </row>
    <row r="697" spans="4:11" ht="12.75" hidden="1">
      <c r="D697"/>
      <c r="E697" s="607"/>
      <c r="F697" s="607"/>
      <c r="G697" s="607"/>
      <c r="H697"/>
      <c r="I697"/>
      <c r="J697"/>
      <c r="K697"/>
    </row>
    <row r="698" spans="4:11" ht="12.75" hidden="1">
      <c r="D698"/>
      <c r="E698" s="607"/>
      <c r="F698" s="607"/>
      <c r="G698" s="607"/>
      <c r="H698"/>
      <c r="I698"/>
      <c r="J698"/>
      <c r="K698"/>
    </row>
    <row r="699" spans="4:11" ht="12.75" hidden="1">
      <c r="D699"/>
      <c r="E699" s="607"/>
      <c r="F699" s="607"/>
      <c r="G699" s="607"/>
      <c r="H699"/>
      <c r="I699"/>
      <c r="J699"/>
      <c r="K699"/>
    </row>
    <row r="700" spans="4:11" ht="12.75" hidden="1">
      <c r="D700"/>
      <c r="E700" s="607"/>
      <c r="F700" s="607"/>
      <c r="G700" s="607"/>
      <c r="H700"/>
      <c r="I700"/>
      <c r="J700"/>
      <c r="K700"/>
    </row>
    <row r="701" spans="4:11" ht="12.75" hidden="1">
      <c r="D701"/>
      <c r="E701" s="607"/>
      <c r="F701" s="607"/>
      <c r="G701" s="607"/>
      <c r="H701"/>
      <c r="I701"/>
      <c r="J701"/>
      <c r="K701"/>
    </row>
    <row r="702" spans="4:11" ht="12.75" hidden="1">
      <c r="D702"/>
      <c r="E702" s="607"/>
      <c r="F702" s="607"/>
      <c r="G702" s="607"/>
      <c r="H702"/>
      <c r="I702"/>
      <c r="J702"/>
      <c r="K702"/>
    </row>
    <row r="703" spans="4:11" ht="12.75" hidden="1">
      <c r="D703"/>
      <c r="E703" s="607"/>
      <c r="F703" s="607"/>
      <c r="G703" s="607"/>
      <c r="H703"/>
      <c r="I703"/>
      <c r="J703"/>
      <c r="K703"/>
    </row>
    <row r="704" spans="4:11" ht="12.75" hidden="1">
      <c r="D704"/>
      <c r="E704" s="607"/>
      <c r="F704" s="607"/>
      <c r="G704" s="607"/>
      <c r="H704"/>
      <c r="I704"/>
      <c r="J704"/>
      <c r="K704"/>
    </row>
    <row r="705" spans="4:11" ht="12.75" hidden="1">
      <c r="D705"/>
      <c r="E705" s="607"/>
      <c r="F705" s="607"/>
      <c r="G705" s="607"/>
      <c r="H705"/>
      <c r="I705"/>
      <c r="J705"/>
      <c r="K705"/>
    </row>
    <row r="706" spans="4:11" ht="12.75" hidden="1">
      <c r="D706"/>
      <c r="E706" s="607"/>
      <c r="F706" s="607"/>
      <c r="G706" s="607"/>
      <c r="H706"/>
      <c r="I706"/>
      <c r="J706"/>
      <c r="K706"/>
    </row>
    <row r="707" spans="4:11" ht="12.75" hidden="1">
      <c r="D707"/>
      <c r="E707" s="607"/>
      <c r="F707" s="607"/>
      <c r="G707" s="607"/>
      <c r="H707"/>
      <c r="I707"/>
      <c r="J707"/>
      <c r="K707"/>
    </row>
    <row r="708" spans="4:11" ht="12.75" hidden="1">
      <c r="D708"/>
      <c r="E708" s="607"/>
      <c r="F708" s="607"/>
      <c r="G708" s="607"/>
      <c r="H708"/>
      <c r="I708"/>
      <c r="J708"/>
      <c r="K708"/>
    </row>
    <row r="709" spans="4:11" ht="12.75" hidden="1">
      <c r="D709"/>
      <c r="E709" s="607"/>
      <c r="F709" s="607"/>
      <c r="G709" s="607"/>
      <c r="H709"/>
      <c r="I709"/>
      <c r="J709"/>
      <c r="K709"/>
    </row>
    <row r="710" spans="4:11" ht="12.75" hidden="1">
      <c r="D710"/>
      <c r="E710" s="607"/>
      <c r="F710" s="607"/>
      <c r="G710" s="607"/>
      <c r="H710"/>
      <c r="I710"/>
      <c r="J710"/>
      <c r="K710"/>
    </row>
    <row r="711" spans="4:11" ht="12.75" hidden="1">
      <c r="D711"/>
      <c r="E711" s="607"/>
      <c r="F711" s="607"/>
      <c r="G711" s="607"/>
      <c r="H711"/>
      <c r="I711"/>
      <c r="J711"/>
      <c r="K711"/>
    </row>
    <row r="712" spans="4:11" ht="12.75" hidden="1">
      <c r="D712"/>
      <c r="E712" s="607"/>
      <c r="F712" s="607"/>
      <c r="G712" s="607"/>
      <c r="H712"/>
      <c r="I712"/>
      <c r="J712"/>
      <c r="K712"/>
    </row>
    <row r="713" spans="4:11" ht="12.75" hidden="1">
      <c r="D713"/>
      <c r="E713" s="607"/>
      <c r="F713" s="607"/>
      <c r="G713" s="607"/>
      <c r="H713"/>
      <c r="I713"/>
      <c r="J713"/>
      <c r="K713"/>
    </row>
    <row r="714" spans="4:11" ht="12.75" hidden="1">
      <c r="D714"/>
      <c r="E714" s="607"/>
      <c r="F714" s="607"/>
      <c r="G714" s="607"/>
      <c r="H714"/>
      <c r="I714"/>
      <c r="J714"/>
      <c r="K714"/>
    </row>
    <row r="715" spans="4:11" ht="12.75" hidden="1">
      <c r="D715"/>
      <c r="E715" s="607"/>
      <c r="F715" s="607"/>
      <c r="G715" s="607"/>
      <c r="H715"/>
      <c r="I715"/>
      <c r="J715"/>
      <c r="K715"/>
    </row>
    <row r="716" spans="4:11" ht="12.75" hidden="1">
      <c r="D716"/>
      <c r="E716" s="607"/>
      <c r="F716" s="607"/>
      <c r="G716" s="607"/>
      <c r="H716"/>
      <c r="I716"/>
      <c r="J716"/>
      <c r="K716"/>
    </row>
    <row r="717" spans="4:11" ht="12.75" hidden="1">
      <c r="D717"/>
      <c r="E717" s="607"/>
      <c r="F717" s="607"/>
      <c r="G717" s="607"/>
      <c r="H717"/>
      <c r="I717"/>
      <c r="J717"/>
      <c r="K717"/>
    </row>
    <row r="718" spans="4:11" ht="12.75" hidden="1">
      <c r="D718"/>
      <c r="E718" s="607"/>
      <c r="F718" s="607"/>
      <c r="G718" s="607"/>
      <c r="H718"/>
      <c r="I718"/>
      <c r="J718"/>
      <c r="K718"/>
    </row>
    <row r="719" spans="4:11" ht="12.75" hidden="1">
      <c r="D719"/>
      <c r="E719" s="607"/>
      <c r="F719" s="607"/>
      <c r="G719" s="607"/>
      <c r="H719"/>
      <c r="I719"/>
      <c r="J719"/>
      <c r="K719"/>
    </row>
    <row r="720" spans="4:11" ht="12.75" hidden="1">
      <c r="D720"/>
      <c r="E720" s="607"/>
      <c r="F720" s="607"/>
      <c r="G720" s="607"/>
      <c r="H720"/>
      <c r="I720"/>
      <c r="J720"/>
      <c r="K720"/>
    </row>
    <row r="721" spans="4:11" ht="12.75" hidden="1">
      <c r="D721"/>
      <c r="E721" s="607"/>
      <c r="F721" s="607"/>
      <c r="G721" s="607"/>
      <c r="H721"/>
      <c r="I721"/>
      <c r="J721"/>
      <c r="K721"/>
    </row>
    <row r="722" spans="4:11" ht="12.75" hidden="1">
      <c r="D722"/>
      <c r="E722" s="607"/>
      <c r="F722" s="607"/>
      <c r="G722" s="607"/>
      <c r="H722"/>
      <c r="I722"/>
      <c r="J722"/>
      <c r="K722"/>
    </row>
    <row r="723" spans="4:11" ht="12.75" hidden="1">
      <c r="D723"/>
      <c r="E723" s="607"/>
      <c r="F723" s="607"/>
      <c r="G723" s="607"/>
      <c r="H723"/>
      <c r="I723"/>
      <c r="J723"/>
      <c r="K723"/>
    </row>
    <row r="724" spans="4:11" ht="12.75" hidden="1">
      <c r="D724"/>
      <c r="E724" s="607"/>
      <c r="F724" s="607"/>
      <c r="G724" s="607"/>
      <c r="H724"/>
      <c r="I724"/>
      <c r="J724"/>
      <c r="K724"/>
    </row>
    <row r="725" spans="4:11" ht="12.75" hidden="1">
      <c r="D725"/>
      <c r="E725" s="607"/>
      <c r="F725" s="607"/>
      <c r="G725" s="607"/>
      <c r="H725"/>
      <c r="I725"/>
      <c r="J725"/>
      <c r="K725"/>
    </row>
    <row r="726" spans="4:11" ht="12.75" hidden="1">
      <c r="D726"/>
      <c r="E726" s="607"/>
      <c r="F726" s="607"/>
      <c r="G726" s="607"/>
      <c r="H726"/>
      <c r="I726"/>
      <c r="J726"/>
      <c r="K726"/>
    </row>
    <row r="727" spans="4:11" ht="12.75" hidden="1">
      <c r="D727"/>
      <c r="E727" s="607"/>
      <c r="F727" s="607"/>
      <c r="G727" s="607"/>
      <c r="H727"/>
      <c r="I727"/>
      <c r="J727"/>
      <c r="K727"/>
    </row>
    <row r="728" spans="4:11" ht="12.75" hidden="1">
      <c r="D728"/>
      <c r="E728" s="607"/>
      <c r="F728" s="607"/>
      <c r="G728" s="607"/>
      <c r="H728"/>
      <c r="I728"/>
      <c r="J728"/>
      <c r="K728"/>
    </row>
    <row r="729" spans="4:11" ht="12.75" hidden="1">
      <c r="D729"/>
      <c r="E729" s="607"/>
      <c r="F729" s="607"/>
      <c r="G729" s="607"/>
      <c r="H729"/>
      <c r="I729"/>
      <c r="J729"/>
      <c r="K729"/>
    </row>
    <row r="730" spans="4:11" ht="12.75" hidden="1">
      <c r="D730"/>
      <c r="E730" s="607"/>
      <c r="F730" s="607"/>
      <c r="G730" s="607"/>
      <c r="H730"/>
      <c r="I730"/>
      <c r="J730"/>
      <c r="K730"/>
    </row>
    <row r="731" spans="4:11" ht="12.75" hidden="1">
      <c r="D731"/>
      <c r="E731" s="607"/>
      <c r="F731" s="607"/>
      <c r="G731" s="607"/>
      <c r="H731"/>
      <c r="I731"/>
      <c r="J731"/>
      <c r="K731"/>
    </row>
    <row r="732" spans="4:11" ht="12.75" hidden="1">
      <c r="D732"/>
      <c r="E732" s="607"/>
      <c r="F732" s="607"/>
      <c r="G732" s="607"/>
      <c r="H732"/>
      <c r="I732"/>
      <c r="J732"/>
      <c r="K732"/>
    </row>
    <row r="733" spans="4:11" ht="12.75" hidden="1">
      <c r="D733"/>
      <c r="E733" s="607"/>
      <c r="F733" s="607"/>
      <c r="G733" s="607"/>
      <c r="H733"/>
      <c r="I733"/>
      <c r="J733"/>
      <c r="K733"/>
    </row>
    <row r="734" spans="4:11" ht="12.75" hidden="1">
      <c r="D734"/>
      <c r="E734" s="607"/>
      <c r="F734" s="607"/>
      <c r="G734" s="607"/>
      <c r="H734"/>
      <c r="I734"/>
      <c r="J734"/>
      <c r="K734"/>
    </row>
    <row r="735" spans="4:11" ht="12.75" hidden="1">
      <c r="D735"/>
      <c r="E735" s="607"/>
      <c r="F735" s="607"/>
      <c r="G735" s="607"/>
      <c r="H735"/>
      <c r="I735"/>
      <c r="J735"/>
      <c r="K735"/>
    </row>
    <row r="736" spans="4:11" ht="12.75" hidden="1">
      <c r="D736"/>
      <c r="E736" s="607"/>
      <c r="F736" s="607"/>
      <c r="G736" s="607"/>
      <c r="H736"/>
      <c r="I736"/>
      <c r="J736"/>
      <c r="K736"/>
    </row>
    <row r="737" spans="4:11" ht="12.75" hidden="1">
      <c r="D737"/>
      <c r="E737" s="607"/>
      <c r="F737" s="607"/>
      <c r="G737" s="607"/>
      <c r="H737"/>
      <c r="I737"/>
      <c r="J737"/>
      <c r="K737"/>
    </row>
    <row r="738" spans="4:11" ht="12.75" hidden="1">
      <c r="D738"/>
      <c r="E738" s="607"/>
      <c r="F738" s="607"/>
      <c r="G738" s="607"/>
      <c r="H738"/>
      <c r="I738"/>
      <c r="J738"/>
      <c r="K738"/>
    </row>
    <row r="739" spans="4:11" ht="12.75" hidden="1">
      <c r="D739"/>
      <c r="E739" s="607"/>
      <c r="F739" s="607"/>
      <c r="G739" s="607"/>
      <c r="H739"/>
      <c r="I739"/>
      <c r="J739"/>
      <c r="K739"/>
    </row>
    <row r="740" spans="4:11" ht="12.75" hidden="1">
      <c r="D740"/>
      <c r="E740" s="607"/>
      <c r="F740" s="607"/>
      <c r="G740" s="607"/>
      <c r="H740"/>
      <c r="I740"/>
      <c r="J740"/>
      <c r="K740"/>
    </row>
    <row r="741" spans="4:11" ht="12.75" hidden="1">
      <c r="D741"/>
      <c r="E741" s="607"/>
      <c r="F741" s="607"/>
      <c r="G741" s="607"/>
      <c r="H741"/>
      <c r="I741"/>
      <c r="J741"/>
      <c r="K741"/>
    </row>
    <row r="742" spans="4:11" ht="12.75" hidden="1">
      <c r="D742"/>
      <c r="E742" s="607"/>
      <c r="F742" s="607"/>
      <c r="G742" s="607"/>
      <c r="H742"/>
      <c r="I742"/>
      <c r="J742"/>
      <c r="K742"/>
    </row>
    <row r="743" spans="4:11" ht="12.75" hidden="1">
      <c r="D743"/>
      <c r="E743" s="607"/>
      <c r="F743" s="607"/>
      <c r="G743" s="607"/>
      <c r="H743"/>
      <c r="I743"/>
      <c r="J743"/>
      <c r="K743"/>
    </row>
    <row r="744" spans="4:11" ht="12.75" hidden="1">
      <c r="D744"/>
      <c r="E744" s="607"/>
      <c r="F744" s="607"/>
      <c r="G744" s="607"/>
      <c r="H744"/>
      <c r="I744"/>
      <c r="J744"/>
      <c r="K744"/>
    </row>
    <row r="745" spans="4:11" ht="12.75" hidden="1">
      <c r="D745"/>
      <c r="E745" s="607"/>
      <c r="F745" s="607"/>
      <c r="G745" s="607"/>
      <c r="H745"/>
      <c r="I745"/>
      <c r="J745"/>
      <c r="K745"/>
    </row>
    <row r="746" spans="4:11" ht="12.75" hidden="1">
      <c r="D746"/>
      <c r="E746" s="607"/>
      <c r="F746" s="607"/>
      <c r="G746" s="607"/>
      <c r="H746"/>
      <c r="I746"/>
      <c r="J746"/>
      <c r="K746"/>
    </row>
    <row r="747" spans="4:11" ht="12.75" hidden="1">
      <c r="D747"/>
      <c r="E747" s="607"/>
      <c r="F747" s="607"/>
      <c r="G747" s="607"/>
      <c r="H747"/>
      <c r="I747"/>
      <c r="J747"/>
      <c r="K747"/>
    </row>
    <row r="748" spans="4:11" ht="12.75" hidden="1">
      <c r="D748"/>
      <c r="E748" s="607"/>
      <c r="F748" s="607"/>
      <c r="G748" s="607"/>
      <c r="H748"/>
      <c r="I748"/>
      <c r="J748"/>
      <c r="K748"/>
    </row>
    <row r="749" spans="4:11" ht="12.75" hidden="1">
      <c r="D749"/>
      <c r="E749" s="607"/>
      <c r="F749" s="607"/>
      <c r="G749" s="607"/>
      <c r="H749"/>
      <c r="I749"/>
      <c r="J749"/>
      <c r="K749"/>
    </row>
    <row r="750" spans="4:11" ht="12.75" hidden="1">
      <c r="D750"/>
      <c r="E750" s="607"/>
      <c r="F750" s="607"/>
      <c r="G750" s="607"/>
      <c r="H750"/>
      <c r="I750"/>
      <c r="J750"/>
      <c r="K750"/>
    </row>
    <row r="751" spans="4:11" ht="12.75" hidden="1">
      <c r="D751"/>
      <c r="E751" s="607"/>
      <c r="F751" s="607"/>
      <c r="G751" s="607"/>
      <c r="H751"/>
      <c r="I751"/>
      <c r="J751"/>
      <c r="K751"/>
    </row>
    <row r="752" spans="4:11" ht="12.75" hidden="1">
      <c r="D752"/>
      <c r="E752" s="607"/>
      <c r="F752" s="607"/>
      <c r="G752" s="607"/>
      <c r="H752"/>
      <c r="I752"/>
      <c r="J752"/>
      <c r="K752"/>
    </row>
    <row r="753" spans="4:11" ht="12.75" hidden="1">
      <c r="D753"/>
      <c r="E753" s="607"/>
      <c r="F753" s="607"/>
      <c r="G753" s="607"/>
      <c r="H753"/>
      <c r="I753"/>
      <c r="J753"/>
      <c r="K753"/>
    </row>
    <row r="754" spans="4:11" ht="12.75" hidden="1">
      <c r="D754"/>
      <c r="E754" s="607"/>
      <c r="F754" s="607"/>
      <c r="G754" s="607"/>
      <c r="H754"/>
      <c r="I754"/>
      <c r="J754"/>
      <c r="K754"/>
    </row>
    <row r="755" spans="4:11" ht="12.75" hidden="1">
      <c r="D755"/>
      <c r="E755" s="607"/>
      <c r="F755" s="607"/>
      <c r="G755" s="607"/>
      <c r="H755"/>
      <c r="I755"/>
      <c r="J755"/>
      <c r="K755"/>
    </row>
    <row r="756" spans="4:11" ht="12.75" hidden="1">
      <c r="D756"/>
      <c r="E756" s="607"/>
      <c r="F756" s="607"/>
      <c r="G756" s="607"/>
      <c r="H756"/>
      <c r="I756"/>
      <c r="J756"/>
      <c r="K756"/>
    </row>
    <row r="757" spans="4:11" ht="12.75" hidden="1">
      <c r="D757"/>
      <c r="E757" s="607"/>
      <c r="F757" s="607"/>
      <c r="G757" s="607"/>
      <c r="H757"/>
      <c r="I757"/>
      <c r="J757"/>
      <c r="K757"/>
    </row>
    <row r="758" spans="4:11" ht="12.75" hidden="1">
      <c r="D758"/>
      <c r="E758" s="607"/>
      <c r="F758" s="607"/>
      <c r="G758" s="607"/>
      <c r="H758"/>
      <c r="I758"/>
      <c r="J758"/>
      <c r="K758"/>
    </row>
    <row r="759" spans="4:11" ht="12.75" hidden="1">
      <c r="D759"/>
      <c r="E759" s="607"/>
      <c r="F759" s="607"/>
      <c r="G759" s="607"/>
      <c r="H759"/>
      <c r="I759"/>
      <c r="J759"/>
      <c r="K759"/>
    </row>
    <row r="760" spans="4:11" ht="12.75" hidden="1">
      <c r="D760"/>
      <c r="E760" s="607"/>
      <c r="F760" s="607"/>
      <c r="G760" s="607"/>
      <c r="H760"/>
      <c r="I760"/>
      <c r="J760"/>
      <c r="K760"/>
    </row>
    <row r="761" spans="4:11" ht="12.75" hidden="1">
      <c r="D761"/>
      <c r="E761" s="607"/>
      <c r="F761" s="607"/>
      <c r="G761" s="607"/>
      <c r="H761"/>
      <c r="I761"/>
      <c r="J761"/>
      <c r="K761"/>
    </row>
    <row r="762" spans="4:11" ht="12.75" hidden="1">
      <c r="D762"/>
      <c r="E762" s="607"/>
      <c r="F762" s="607"/>
      <c r="G762" s="607"/>
      <c r="H762"/>
      <c r="I762"/>
      <c r="J762"/>
      <c r="K762"/>
    </row>
    <row r="763" spans="4:11" ht="12.75" hidden="1">
      <c r="D763"/>
      <c r="E763" s="607"/>
      <c r="F763" s="607"/>
      <c r="G763" s="607"/>
      <c r="H763"/>
      <c r="I763"/>
      <c r="J763"/>
      <c r="K763"/>
    </row>
    <row r="764" spans="4:11" ht="12.75" hidden="1">
      <c r="D764"/>
      <c r="E764" s="607"/>
      <c r="F764" s="607"/>
      <c r="G764" s="607"/>
      <c r="H764"/>
      <c r="I764"/>
      <c r="J764"/>
      <c r="K764"/>
    </row>
    <row r="765" spans="4:11" ht="12.75" hidden="1">
      <c r="D765"/>
      <c r="E765" s="607"/>
      <c r="F765" s="607"/>
      <c r="G765" s="607"/>
      <c r="H765"/>
      <c r="I765"/>
      <c r="J765"/>
      <c r="K765"/>
    </row>
    <row r="766" spans="4:11" ht="12.75" hidden="1">
      <c r="D766"/>
      <c r="E766" s="607"/>
      <c r="F766" s="607"/>
      <c r="G766" s="607"/>
      <c r="H766"/>
      <c r="I766"/>
      <c r="J766"/>
      <c r="K766"/>
    </row>
    <row r="767" spans="4:11" ht="12.75" hidden="1">
      <c r="D767"/>
      <c r="E767" s="607"/>
      <c r="F767" s="607"/>
      <c r="G767" s="607"/>
      <c r="H767"/>
      <c r="I767"/>
      <c r="J767"/>
      <c r="K767"/>
    </row>
    <row r="768" spans="4:11" ht="12.75" hidden="1">
      <c r="D768"/>
      <c r="E768" s="607"/>
      <c r="F768" s="607"/>
      <c r="G768" s="607"/>
      <c r="H768"/>
      <c r="I768"/>
      <c r="J768"/>
      <c r="K768"/>
    </row>
    <row r="769" spans="4:11" ht="12.75" hidden="1">
      <c r="D769"/>
      <c r="E769" s="607"/>
      <c r="F769" s="607"/>
      <c r="G769" s="607"/>
      <c r="H769"/>
      <c r="I769"/>
      <c r="J769"/>
      <c r="K769"/>
    </row>
    <row r="770" spans="4:11" ht="12.75" hidden="1">
      <c r="D770"/>
      <c r="E770" s="607"/>
      <c r="F770" s="607"/>
      <c r="G770" s="607"/>
      <c r="H770"/>
      <c r="I770"/>
      <c r="J770"/>
      <c r="K770"/>
    </row>
    <row r="771" spans="4:11" ht="12.75" hidden="1">
      <c r="D771"/>
      <c r="E771" s="607"/>
      <c r="F771" s="607"/>
      <c r="G771" s="607"/>
      <c r="H771"/>
      <c r="I771"/>
      <c r="J771"/>
      <c r="K771"/>
    </row>
    <row r="772" spans="4:11" ht="12.75" hidden="1">
      <c r="D772"/>
      <c r="E772" s="607"/>
      <c r="F772" s="607"/>
      <c r="G772" s="607"/>
      <c r="H772"/>
      <c r="I772"/>
      <c r="J772"/>
      <c r="K772"/>
    </row>
    <row r="773" spans="4:11" ht="12.75" hidden="1">
      <c r="D773"/>
      <c r="E773" s="607"/>
      <c r="F773" s="607"/>
      <c r="G773" s="607"/>
      <c r="H773"/>
      <c r="I773"/>
      <c r="J773"/>
      <c r="K773"/>
    </row>
    <row r="774" spans="4:11" ht="12.75" hidden="1">
      <c r="D774"/>
      <c r="E774" s="607"/>
      <c r="F774" s="607"/>
      <c r="G774" s="607"/>
      <c r="H774"/>
      <c r="I774"/>
      <c r="J774"/>
      <c r="K774"/>
    </row>
    <row r="775" spans="4:11" ht="12.75" hidden="1">
      <c r="D775"/>
      <c r="E775" s="607"/>
      <c r="F775" s="607"/>
      <c r="G775" s="607"/>
      <c r="H775"/>
      <c r="I775"/>
      <c r="J775"/>
      <c r="K775"/>
    </row>
    <row r="776" spans="4:11" ht="12.75" hidden="1">
      <c r="D776"/>
      <c r="E776" s="607"/>
      <c r="F776" s="607"/>
      <c r="G776" s="607"/>
      <c r="H776"/>
      <c r="I776"/>
      <c r="J776"/>
      <c r="K776"/>
    </row>
    <row r="777" spans="4:11" ht="12.75" hidden="1">
      <c r="D777"/>
      <c r="E777" s="607"/>
      <c r="F777" s="607"/>
      <c r="G777" s="607"/>
      <c r="H777"/>
      <c r="I777"/>
      <c r="J777"/>
      <c r="K777"/>
    </row>
    <row r="778" spans="4:11" ht="12.75" hidden="1">
      <c r="D778"/>
      <c r="E778" s="607"/>
      <c r="F778" s="607"/>
      <c r="G778" s="607"/>
      <c r="H778"/>
      <c r="I778"/>
      <c r="J778"/>
      <c r="K778"/>
    </row>
    <row r="779" spans="4:11" ht="12.75" hidden="1">
      <c r="D779"/>
      <c r="E779" s="607"/>
      <c r="F779" s="607"/>
      <c r="G779" s="607"/>
      <c r="H779"/>
      <c r="I779"/>
      <c r="J779"/>
      <c r="K779"/>
    </row>
    <row r="780" spans="4:11" ht="12.75" hidden="1">
      <c r="D780"/>
      <c r="E780" s="607"/>
      <c r="F780" s="607"/>
      <c r="G780" s="607"/>
      <c r="H780"/>
      <c r="I780"/>
      <c r="J780"/>
      <c r="K780"/>
    </row>
    <row r="781" spans="4:11" ht="12.75" hidden="1">
      <c r="D781"/>
      <c r="E781" s="607"/>
      <c r="F781" s="607"/>
      <c r="G781" s="607"/>
      <c r="H781"/>
      <c r="I781"/>
      <c r="J781"/>
      <c r="K781"/>
    </row>
    <row r="782" spans="4:11" ht="12.75" hidden="1">
      <c r="D782"/>
      <c r="E782" s="607"/>
      <c r="F782" s="607"/>
      <c r="G782" s="607"/>
      <c r="H782"/>
      <c r="I782"/>
      <c r="J782"/>
      <c r="K782"/>
    </row>
    <row r="783" spans="4:11" ht="12.75" hidden="1">
      <c r="D783"/>
      <c r="E783" s="607"/>
      <c r="F783" s="607"/>
      <c r="G783" s="607"/>
      <c r="H783"/>
      <c r="I783"/>
      <c r="J783"/>
      <c r="K783"/>
    </row>
    <row r="784" spans="4:11" ht="12.75" hidden="1">
      <c r="D784"/>
      <c r="E784" s="607"/>
      <c r="F784" s="607"/>
      <c r="G784" s="607"/>
      <c r="H784"/>
      <c r="I784"/>
      <c r="J784"/>
      <c r="K784"/>
    </row>
    <row r="785" spans="4:11" ht="12.75" hidden="1">
      <c r="D785"/>
      <c r="E785" s="607"/>
      <c r="F785" s="607"/>
      <c r="G785" s="607"/>
      <c r="H785"/>
      <c r="I785"/>
      <c r="J785"/>
      <c r="K785"/>
    </row>
    <row r="786" spans="4:11" ht="12.75" hidden="1">
      <c r="D786"/>
      <c r="E786" s="607"/>
      <c r="F786" s="607"/>
      <c r="G786" s="607"/>
      <c r="H786"/>
      <c r="I786"/>
      <c r="J786"/>
      <c r="K786"/>
    </row>
    <row r="787" spans="4:11" ht="12.75" hidden="1">
      <c r="D787"/>
      <c r="E787" s="607"/>
      <c r="F787" s="607"/>
      <c r="G787" s="607"/>
      <c r="H787"/>
      <c r="I787"/>
      <c r="J787"/>
      <c r="K787"/>
    </row>
    <row r="788" spans="4:11" ht="12.75" hidden="1">
      <c r="D788"/>
      <c r="E788" s="607"/>
      <c r="F788" s="607"/>
      <c r="G788" s="607"/>
      <c r="H788"/>
      <c r="I788"/>
      <c r="J788"/>
      <c r="K788"/>
    </row>
    <row r="789" spans="4:11" ht="12.75" hidden="1">
      <c r="D789"/>
      <c r="E789" s="607"/>
      <c r="F789" s="607"/>
      <c r="G789" s="607"/>
      <c r="H789"/>
      <c r="I789"/>
      <c r="J789"/>
      <c r="K789"/>
    </row>
    <row r="790" spans="4:11" ht="12.75" hidden="1">
      <c r="D790"/>
      <c r="E790" s="607"/>
      <c r="F790" s="607"/>
      <c r="G790" s="607"/>
      <c r="H790"/>
      <c r="I790"/>
      <c r="J790"/>
      <c r="K790"/>
    </row>
    <row r="791" spans="4:11" ht="12.75" hidden="1">
      <c r="D791"/>
      <c r="E791" s="607"/>
      <c r="F791" s="607"/>
      <c r="G791" s="607"/>
      <c r="H791"/>
      <c r="I791"/>
      <c r="J791"/>
      <c r="K791"/>
    </row>
    <row r="792" spans="4:11" ht="12.75" hidden="1">
      <c r="D792"/>
      <c r="E792" s="607"/>
      <c r="F792" s="607"/>
      <c r="G792" s="607"/>
      <c r="H792"/>
      <c r="I792"/>
      <c r="J792"/>
      <c r="K792"/>
    </row>
    <row r="793" spans="4:11" ht="12.75" hidden="1">
      <c r="D793"/>
      <c r="E793" s="607"/>
      <c r="F793" s="607"/>
      <c r="G793" s="607"/>
      <c r="H793"/>
      <c r="I793"/>
      <c r="J793"/>
      <c r="K793"/>
    </row>
    <row r="794" spans="4:11" ht="12.75" hidden="1">
      <c r="D794"/>
      <c r="E794" s="607"/>
      <c r="F794" s="607"/>
      <c r="G794" s="607"/>
      <c r="H794"/>
      <c r="I794"/>
      <c r="J794"/>
      <c r="K794"/>
    </row>
    <row r="795" spans="4:11" ht="12.75" hidden="1">
      <c r="D795"/>
      <c r="E795" s="607"/>
      <c r="F795" s="607"/>
      <c r="G795" s="607"/>
      <c r="H795"/>
      <c r="I795"/>
      <c r="J795"/>
      <c r="K795"/>
    </row>
    <row r="796" spans="4:11" ht="12.75" hidden="1">
      <c r="D796"/>
      <c r="E796" s="607"/>
      <c r="F796" s="607"/>
      <c r="G796" s="607"/>
      <c r="H796"/>
      <c r="I796"/>
      <c r="J796"/>
      <c r="K796"/>
    </row>
    <row r="797" spans="4:11" ht="12.75" hidden="1">
      <c r="D797"/>
      <c r="E797" s="607"/>
      <c r="F797" s="607"/>
      <c r="G797" s="607"/>
      <c r="H797"/>
      <c r="I797"/>
      <c r="J797"/>
      <c r="K797"/>
    </row>
    <row r="798" spans="4:11" ht="12.75" hidden="1">
      <c r="D798"/>
      <c r="E798" s="607"/>
      <c r="F798" s="607"/>
      <c r="G798" s="607"/>
      <c r="H798"/>
      <c r="I798"/>
      <c r="J798"/>
      <c r="K798"/>
    </row>
    <row r="799" spans="4:11" ht="12.75" hidden="1">
      <c r="D799"/>
      <c r="E799" s="607"/>
      <c r="F799" s="607"/>
      <c r="G799" s="607"/>
      <c r="H799"/>
      <c r="I799"/>
      <c r="J799"/>
      <c r="K799"/>
    </row>
    <row r="800" spans="4:11" ht="12.75" hidden="1">
      <c r="D800"/>
      <c r="E800" s="607"/>
      <c r="F800" s="607"/>
      <c r="G800" s="607"/>
      <c r="H800"/>
      <c r="I800"/>
      <c r="J800"/>
      <c r="K800"/>
    </row>
    <row r="801" spans="4:11" ht="12.75" hidden="1">
      <c r="D801"/>
      <c r="E801" s="607"/>
      <c r="F801" s="607"/>
      <c r="G801" s="607"/>
      <c r="H801"/>
      <c r="I801"/>
      <c r="J801"/>
      <c r="K801"/>
    </row>
    <row r="802" spans="4:11" ht="12.75" hidden="1">
      <c r="D802"/>
      <c r="E802" s="607"/>
      <c r="F802" s="607"/>
      <c r="G802" s="607"/>
      <c r="H802"/>
      <c r="I802"/>
      <c r="J802"/>
      <c r="K802"/>
    </row>
    <row r="803" spans="4:11" ht="12.75" hidden="1">
      <c r="D803"/>
      <c r="E803" s="607"/>
      <c r="F803" s="607"/>
      <c r="G803" s="607"/>
      <c r="H803"/>
      <c r="I803"/>
      <c r="J803"/>
      <c r="K803"/>
    </row>
    <row r="804" spans="4:11" ht="12.75" hidden="1">
      <c r="D804"/>
      <c r="E804" s="607"/>
      <c r="F804" s="607"/>
      <c r="G804" s="607"/>
      <c r="H804"/>
      <c r="I804"/>
      <c r="J804"/>
      <c r="K804"/>
    </row>
    <row r="805" spans="4:11" ht="12.75" hidden="1">
      <c r="D805"/>
      <c r="E805" s="607"/>
      <c r="F805" s="607"/>
      <c r="G805" s="607"/>
      <c r="H805"/>
      <c r="I805"/>
      <c r="J805"/>
      <c r="K805"/>
    </row>
    <row r="806" spans="4:11" ht="12.75" hidden="1">
      <c r="D806"/>
      <c r="E806" s="607"/>
      <c r="F806" s="607"/>
      <c r="G806" s="607"/>
      <c r="H806"/>
      <c r="I806"/>
      <c r="J806"/>
      <c r="K806"/>
    </row>
    <row r="807" spans="4:11" ht="12.75" hidden="1">
      <c r="D807"/>
      <c r="E807" s="607"/>
      <c r="F807" s="607"/>
      <c r="G807" s="607"/>
      <c r="H807"/>
      <c r="I807"/>
      <c r="J807"/>
      <c r="K807"/>
    </row>
    <row r="808" spans="4:11" ht="12.75" hidden="1">
      <c r="D808"/>
      <c r="E808" s="607"/>
      <c r="F808" s="607"/>
      <c r="G808" s="607"/>
      <c r="H808"/>
      <c r="I808"/>
      <c r="J808"/>
      <c r="K808"/>
    </row>
    <row r="809" spans="4:11" ht="12.75" hidden="1">
      <c r="D809"/>
      <c r="E809" s="607"/>
      <c r="F809" s="607"/>
      <c r="G809" s="607"/>
      <c r="H809"/>
      <c r="I809"/>
      <c r="J809"/>
      <c r="K809"/>
    </row>
    <row r="810" spans="4:11" ht="12.75" hidden="1">
      <c r="D810"/>
      <c r="E810" s="607"/>
      <c r="F810" s="607"/>
      <c r="G810" s="607"/>
      <c r="H810"/>
      <c r="I810"/>
      <c r="J810"/>
      <c r="K810"/>
    </row>
    <row r="811" spans="4:11" ht="12.75" hidden="1">
      <c r="D811"/>
      <c r="E811" s="607"/>
      <c r="F811" s="607"/>
      <c r="G811" s="607"/>
      <c r="H811"/>
      <c r="I811"/>
      <c r="J811"/>
      <c r="K811"/>
    </row>
    <row r="812" spans="4:11" ht="12.75" hidden="1">
      <c r="D812"/>
      <c r="E812" s="607"/>
      <c r="F812" s="607"/>
      <c r="G812" s="607"/>
      <c r="H812"/>
      <c r="I812"/>
      <c r="J812"/>
      <c r="K812"/>
    </row>
    <row r="813" spans="4:11" ht="12.75" hidden="1">
      <c r="D813"/>
      <c r="E813" s="607"/>
      <c r="F813" s="607"/>
      <c r="G813" s="607"/>
      <c r="H813"/>
      <c r="I813"/>
      <c r="J813"/>
      <c r="K813"/>
    </row>
    <row r="814" spans="4:11" ht="12.75" hidden="1">
      <c r="D814"/>
      <c r="E814" s="607"/>
      <c r="F814" s="607"/>
      <c r="G814" s="607"/>
      <c r="H814"/>
      <c r="I814"/>
      <c r="J814"/>
      <c r="K814"/>
    </row>
    <row r="815" spans="4:11" ht="12.75" hidden="1">
      <c r="D815"/>
      <c r="E815" s="607"/>
      <c r="F815" s="607"/>
      <c r="G815" s="607"/>
      <c r="H815"/>
      <c r="I815"/>
      <c r="J815"/>
      <c r="K815"/>
    </row>
    <row r="816" spans="4:11" ht="12.75" hidden="1">
      <c r="D816"/>
      <c r="E816" s="607"/>
      <c r="F816" s="607"/>
      <c r="G816" s="607"/>
      <c r="H816"/>
      <c r="I816"/>
      <c r="J816"/>
      <c r="K816"/>
    </row>
    <row r="817" spans="4:11" ht="12.75" hidden="1">
      <c r="D817"/>
      <c r="E817" s="607"/>
      <c r="F817" s="607"/>
      <c r="G817" s="607"/>
      <c r="H817"/>
      <c r="I817"/>
      <c r="J817"/>
      <c r="K817"/>
    </row>
    <row r="818" spans="4:11" ht="12.75" hidden="1">
      <c r="D818"/>
      <c r="E818" s="607"/>
      <c r="F818" s="607"/>
      <c r="G818" s="607"/>
      <c r="H818"/>
      <c r="I818"/>
      <c r="J818"/>
      <c r="K818"/>
    </row>
    <row r="819" spans="4:11" ht="12.75" hidden="1">
      <c r="D819"/>
      <c r="E819" s="607"/>
      <c r="F819" s="607"/>
      <c r="G819" s="607"/>
      <c r="H819"/>
      <c r="I819"/>
      <c r="J819"/>
      <c r="K819"/>
    </row>
    <row r="820" spans="4:11" ht="12.75" hidden="1">
      <c r="D820"/>
      <c r="E820" s="607"/>
      <c r="F820" s="607"/>
      <c r="G820" s="607"/>
      <c r="H820"/>
      <c r="I820"/>
      <c r="J820"/>
      <c r="K820"/>
    </row>
    <row r="821" spans="4:11" ht="12.75" hidden="1">
      <c r="D821"/>
      <c r="E821" s="607"/>
      <c r="F821" s="607"/>
      <c r="G821" s="607"/>
      <c r="H821"/>
      <c r="I821"/>
      <c r="J821"/>
      <c r="K821"/>
    </row>
    <row r="822" spans="4:11" ht="12.75" hidden="1">
      <c r="D822"/>
      <c r="E822" s="607"/>
      <c r="F822" s="607"/>
      <c r="G822" s="607"/>
      <c r="H822"/>
      <c r="I822"/>
      <c r="J822"/>
      <c r="K822"/>
    </row>
    <row r="823" spans="4:11" ht="12.75" hidden="1">
      <c r="D823"/>
      <c r="E823" s="607"/>
      <c r="F823" s="607"/>
      <c r="G823" s="607"/>
      <c r="H823"/>
      <c r="I823"/>
      <c r="J823"/>
      <c r="K823"/>
    </row>
    <row r="824" spans="4:11" ht="12.75" hidden="1">
      <c r="D824"/>
      <c r="E824" s="607"/>
      <c r="F824" s="607"/>
      <c r="G824" s="607"/>
      <c r="H824"/>
      <c r="I824"/>
      <c r="J824"/>
      <c r="K824"/>
    </row>
    <row r="825" spans="4:11" ht="12.75" hidden="1">
      <c r="D825"/>
      <c r="E825" s="607"/>
      <c r="F825" s="607"/>
      <c r="G825" s="607"/>
      <c r="H825"/>
      <c r="I825"/>
      <c r="J825"/>
      <c r="K825"/>
    </row>
    <row r="826" spans="4:11" ht="12.75" hidden="1">
      <c r="D826"/>
      <c r="E826" s="607"/>
      <c r="F826" s="607"/>
      <c r="G826" s="607"/>
      <c r="H826"/>
      <c r="I826"/>
      <c r="J826"/>
      <c r="K826"/>
    </row>
    <row r="827" spans="4:11" ht="12.75" hidden="1">
      <c r="D827"/>
      <c r="E827" s="607"/>
      <c r="F827" s="607"/>
      <c r="G827" s="607"/>
      <c r="H827"/>
      <c r="I827"/>
      <c r="J827"/>
      <c r="K827"/>
    </row>
    <row r="828" spans="4:11" ht="12.75" hidden="1">
      <c r="D828"/>
      <c r="E828" s="607"/>
      <c r="F828" s="607"/>
      <c r="G828" s="607"/>
      <c r="H828"/>
      <c r="I828"/>
      <c r="J828"/>
      <c r="K828"/>
    </row>
    <row r="829" spans="4:11" ht="12.75" hidden="1">
      <c r="D829"/>
      <c r="E829" s="607"/>
      <c r="F829" s="607"/>
      <c r="G829" s="607"/>
      <c r="H829"/>
      <c r="I829"/>
      <c r="J829"/>
      <c r="K829"/>
    </row>
    <row r="830" spans="4:11" ht="12.75" hidden="1">
      <c r="D830"/>
      <c r="E830" s="607"/>
      <c r="F830" s="607"/>
      <c r="G830" s="607"/>
      <c r="H830"/>
      <c r="I830"/>
      <c r="J830"/>
      <c r="K830"/>
    </row>
    <row r="831" spans="4:11" ht="12.75" hidden="1">
      <c r="D831"/>
      <c r="E831" s="607"/>
      <c r="F831" s="607"/>
      <c r="G831" s="607"/>
      <c r="H831"/>
      <c r="I831"/>
      <c r="J831"/>
      <c r="K831"/>
    </row>
    <row r="832" spans="4:11" ht="12.75" hidden="1">
      <c r="D832"/>
      <c r="E832" s="607"/>
      <c r="F832" s="607"/>
      <c r="G832" s="607"/>
      <c r="H832"/>
      <c r="I832"/>
      <c r="J832"/>
      <c r="K832"/>
    </row>
    <row r="833" spans="4:11" ht="12.75" hidden="1">
      <c r="D833"/>
      <c r="E833" s="607"/>
      <c r="F833" s="607"/>
      <c r="G833" s="607"/>
      <c r="H833"/>
      <c r="I833"/>
      <c r="J833"/>
      <c r="K833"/>
    </row>
    <row r="834" spans="4:11" ht="12.75" hidden="1">
      <c r="D834"/>
      <c r="E834" s="607"/>
      <c r="F834" s="607"/>
      <c r="G834" s="607"/>
      <c r="H834"/>
      <c r="I834"/>
      <c r="J834"/>
      <c r="K834"/>
    </row>
    <row r="835" spans="4:11" ht="12.75" hidden="1">
      <c r="D835"/>
      <c r="E835" s="607"/>
      <c r="F835" s="607"/>
      <c r="G835" s="607"/>
      <c r="H835"/>
      <c r="I835"/>
      <c r="J835"/>
      <c r="K835"/>
    </row>
    <row r="836" spans="4:11" ht="12.75" hidden="1">
      <c r="D836"/>
      <c r="E836" s="607"/>
      <c r="F836" s="607"/>
      <c r="G836" s="607"/>
      <c r="H836"/>
      <c r="I836"/>
      <c r="J836"/>
      <c r="K836"/>
    </row>
    <row r="837" spans="4:11" ht="12.75" hidden="1">
      <c r="D837"/>
      <c r="E837" s="607"/>
      <c r="F837" s="607"/>
      <c r="G837" s="607"/>
      <c r="H837"/>
      <c r="I837"/>
      <c r="J837"/>
      <c r="K837"/>
    </row>
    <row r="838" spans="4:11" ht="12.75" hidden="1">
      <c r="D838"/>
      <c r="E838" s="607"/>
      <c r="F838" s="607"/>
      <c r="G838" s="607"/>
      <c r="H838"/>
      <c r="I838"/>
      <c r="J838"/>
      <c r="K838"/>
    </row>
    <row r="839" spans="4:11" ht="12.75" hidden="1">
      <c r="D839"/>
      <c r="E839" s="607"/>
      <c r="F839" s="607"/>
      <c r="G839" s="607"/>
      <c r="H839"/>
      <c r="I839"/>
      <c r="J839"/>
      <c r="K839"/>
    </row>
    <row r="840" spans="4:11" ht="12.75" hidden="1">
      <c r="D840"/>
      <c r="E840" s="607"/>
      <c r="F840" s="607"/>
      <c r="G840" s="607"/>
      <c r="H840"/>
      <c r="I840"/>
      <c r="J840"/>
      <c r="K840"/>
    </row>
    <row r="841" spans="4:11" ht="12.75" hidden="1">
      <c r="D841"/>
      <c r="E841" s="607"/>
      <c r="F841" s="607"/>
      <c r="G841" s="607"/>
      <c r="H841"/>
      <c r="I841"/>
      <c r="J841"/>
      <c r="K841"/>
    </row>
    <row r="842" spans="4:11" ht="12.75" hidden="1">
      <c r="D842"/>
      <c r="E842" s="607"/>
      <c r="F842" s="607"/>
      <c r="G842" s="607"/>
      <c r="H842"/>
      <c r="I842"/>
      <c r="J842"/>
      <c r="K842"/>
    </row>
    <row r="843" spans="4:11" ht="12.75" hidden="1">
      <c r="D843"/>
      <c r="E843" s="607"/>
      <c r="F843" s="607"/>
      <c r="G843" s="607"/>
      <c r="H843"/>
      <c r="I843"/>
      <c r="J843"/>
      <c r="K843"/>
    </row>
    <row r="844" spans="4:11" ht="12.75" hidden="1">
      <c r="D844"/>
      <c r="E844" s="607"/>
      <c r="F844" s="607"/>
      <c r="G844" s="607"/>
      <c r="H844"/>
      <c r="I844"/>
      <c r="J844"/>
      <c r="K844"/>
    </row>
    <row r="845" spans="4:11" ht="12.75" hidden="1">
      <c r="D845"/>
      <c r="E845" s="607"/>
      <c r="F845" s="607"/>
      <c r="G845" s="607"/>
      <c r="H845"/>
      <c r="I845"/>
      <c r="J845"/>
      <c r="K845"/>
    </row>
    <row r="846" spans="4:11" ht="12.75" hidden="1">
      <c r="D846"/>
      <c r="E846" s="607"/>
      <c r="F846" s="607"/>
      <c r="G846" s="607"/>
      <c r="H846"/>
      <c r="I846"/>
      <c r="J846"/>
      <c r="K846"/>
    </row>
    <row r="847" spans="4:11" ht="12.75" hidden="1">
      <c r="D847"/>
      <c r="E847" s="607"/>
      <c r="F847" s="607"/>
      <c r="G847" s="607"/>
      <c r="H847"/>
      <c r="I847"/>
      <c r="J847"/>
      <c r="K847"/>
    </row>
    <row r="848" spans="4:11" ht="12.75" hidden="1">
      <c r="D848"/>
      <c r="E848" s="607"/>
      <c r="F848" s="607"/>
      <c r="G848" s="607"/>
      <c r="H848"/>
      <c r="I848"/>
      <c r="J848"/>
      <c r="K848"/>
    </row>
    <row r="849" spans="4:11" ht="12.75" hidden="1">
      <c r="D849"/>
      <c r="E849" s="607"/>
      <c r="F849" s="607"/>
      <c r="G849" s="607"/>
      <c r="H849"/>
      <c r="I849"/>
      <c r="J849"/>
      <c r="K849"/>
    </row>
    <row r="850" spans="4:11" ht="12.75" hidden="1">
      <c r="D850"/>
      <c r="E850" s="607"/>
      <c r="F850" s="607"/>
      <c r="G850" s="607"/>
      <c r="H850"/>
      <c r="I850"/>
      <c r="J850"/>
      <c r="K850"/>
    </row>
    <row r="851" spans="4:11" ht="12.75" hidden="1">
      <c r="D851"/>
      <c r="E851" s="607"/>
      <c r="F851" s="607"/>
      <c r="G851" s="607"/>
      <c r="H851"/>
      <c r="I851"/>
      <c r="J851"/>
      <c r="K851"/>
    </row>
    <row r="852" spans="4:11" ht="12.75" hidden="1">
      <c r="D852"/>
      <c r="E852" s="607"/>
      <c r="F852" s="607"/>
      <c r="G852" s="607"/>
      <c r="H852"/>
      <c r="I852"/>
      <c r="J852"/>
      <c r="K852"/>
    </row>
    <row r="853" spans="4:11" ht="12.75" hidden="1">
      <c r="D853"/>
      <c r="E853" s="607"/>
      <c r="F853" s="607"/>
      <c r="G853" s="607"/>
      <c r="H853"/>
      <c r="I853"/>
      <c r="J853"/>
      <c r="K853"/>
    </row>
    <row r="854" spans="4:11" ht="12.75" hidden="1">
      <c r="D854"/>
      <c r="E854" s="607"/>
      <c r="F854" s="607"/>
      <c r="G854" s="607"/>
      <c r="H854"/>
      <c r="I854"/>
      <c r="J854"/>
      <c r="K854"/>
    </row>
    <row r="855" spans="4:11" ht="12.75" hidden="1">
      <c r="D855"/>
      <c r="E855" s="607"/>
      <c r="F855" s="607"/>
      <c r="G855" s="607"/>
      <c r="H855"/>
      <c r="I855"/>
      <c r="J855"/>
      <c r="K855"/>
    </row>
    <row r="856" spans="4:11" ht="12.75" hidden="1">
      <c r="D856"/>
      <c r="E856" s="607"/>
      <c r="F856" s="607"/>
      <c r="G856" s="607"/>
      <c r="H856"/>
      <c r="I856"/>
      <c r="J856"/>
      <c r="K856"/>
    </row>
    <row r="857" spans="4:11" ht="12.75" hidden="1">
      <c r="D857"/>
      <c r="E857" s="607"/>
      <c r="F857" s="607"/>
      <c r="G857" s="607"/>
      <c r="H857"/>
      <c r="I857"/>
      <c r="J857"/>
      <c r="K857"/>
    </row>
    <row r="858" spans="4:11" ht="12.75" hidden="1">
      <c r="D858"/>
      <c r="E858" s="607"/>
      <c r="F858" s="607"/>
      <c r="G858" s="607"/>
      <c r="H858"/>
      <c r="I858"/>
      <c r="J858"/>
      <c r="K858"/>
    </row>
    <row r="859" spans="4:11" ht="12.75" hidden="1">
      <c r="D859"/>
      <c r="E859" s="607"/>
      <c r="F859" s="607"/>
      <c r="G859" s="607"/>
      <c r="H859"/>
      <c r="I859"/>
      <c r="J859"/>
      <c r="K859"/>
    </row>
    <row r="860" spans="4:11" ht="12.75" hidden="1">
      <c r="D860"/>
      <c r="E860" s="607"/>
      <c r="F860" s="607"/>
      <c r="G860" s="607"/>
      <c r="H860"/>
      <c r="I860"/>
      <c r="J860"/>
      <c r="K860"/>
    </row>
    <row r="861" spans="4:11" ht="12.75" hidden="1">
      <c r="D861"/>
      <c r="E861" s="607"/>
      <c r="F861" s="607"/>
      <c r="G861" s="607"/>
      <c r="H861"/>
      <c r="I861"/>
      <c r="J861"/>
      <c r="K861"/>
    </row>
    <row r="862" spans="4:11" ht="12.75" hidden="1">
      <c r="D862"/>
      <c r="E862" s="607"/>
      <c r="F862" s="607"/>
      <c r="G862" s="607"/>
      <c r="H862"/>
      <c r="I862"/>
      <c r="J862"/>
      <c r="K862"/>
    </row>
    <row r="863" spans="4:11" ht="12.75" hidden="1">
      <c r="D863"/>
      <c r="E863" s="607"/>
      <c r="F863" s="607"/>
      <c r="G863" s="607"/>
      <c r="H863"/>
      <c r="I863"/>
      <c r="J863"/>
      <c r="K863"/>
    </row>
    <row r="864" spans="4:11" ht="12.75" hidden="1">
      <c r="D864"/>
      <c r="E864" s="607"/>
      <c r="F864" s="607"/>
      <c r="G864" s="607"/>
      <c r="H864"/>
      <c r="I864"/>
      <c r="J864"/>
      <c r="K864"/>
    </row>
    <row r="865" spans="4:11" ht="12.75" hidden="1">
      <c r="D865"/>
      <c r="E865" s="607"/>
      <c r="F865" s="607"/>
      <c r="G865" s="607"/>
      <c r="H865"/>
      <c r="I865"/>
      <c r="J865"/>
      <c r="K865"/>
    </row>
    <row r="866" spans="4:11" ht="12.75" hidden="1">
      <c r="D866"/>
      <c r="E866" s="607"/>
      <c r="F866" s="607"/>
      <c r="G866" s="607"/>
      <c r="H866"/>
      <c r="I866"/>
      <c r="J866"/>
      <c r="K866"/>
    </row>
    <row r="867" spans="4:11" ht="12.75" hidden="1">
      <c r="D867"/>
      <c r="E867" s="607"/>
      <c r="F867" s="607"/>
      <c r="G867" s="607"/>
      <c r="H867"/>
      <c r="I867"/>
      <c r="J867"/>
      <c r="K867"/>
    </row>
    <row r="868" spans="4:11" ht="12.75" hidden="1">
      <c r="D868"/>
      <c r="E868" s="607"/>
      <c r="F868" s="607"/>
      <c r="G868" s="607"/>
      <c r="H868"/>
      <c r="I868"/>
      <c r="J868"/>
      <c r="K868"/>
    </row>
    <row r="869" spans="4:11" ht="12.75" hidden="1">
      <c r="D869"/>
      <c r="E869" s="607"/>
      <c r="F869" s="607"/>
      <c r="G869" s="607"/>
      <c r="H869"/>
      <c r="I869"/>
      <c r="J869"/>
      <c r="K869"/>
    </row>
    <row r="870" spans="4:11" ht="12.75" hidden="1">
      <c r="D870"/>
      <c r="E870" s="607"/>
      <c r="F870" s="607"/>
      <c r="G870" s="607"/>
      <c r="H870"/>
      <c r="I870"/>
      <c r="J870"/>
      <c r="K870"/>
    </row>
    <row r="871" spans="4:11" ht="12.75" hidden="1">
      <c r="D871"/>
      <c r="E871" s="607"/>
      <c r="F871" s="607"/>
      <c r="G871" s="607"/>
      <c r="H871"/>
      <c r="I871"/>
      <c r="J871"/>
      <c r="K871"/>
    </row>
    <row r="872" spans="4:11" ht="12.75" hidden="1">
      <c r="D872"/>
      <c r="E872" s="607"/>
      <c r="F872" s="607"/>
      <c r="G872" s="607"/>
      <c r="H872"/>
      <c r="I872"/>
      <c r="J872"/>
      <c r="K872"/>
    </row>
    <row r="873" spans="4:11" ht="12.75" hidden="1">
      <c r="D873"/>
      <c r="E873" s="607"/>
      <c r="F873" s="607"/>
      <c r="G873" s="607"/>
      <c r="H873"/>
      <c r="I873"/>
      <c r="J873"/>
      <c r="K873"/>
    </row>
    <row r="874" spans="4:11" ht="12.75" hidden="1">
      <c r="D874"/>
      <c r="E874" s="607"/>
      <c r="F874" s="607"/>
      <c r="G874" s="607"/>
      <c r="H874"/>
      <c r="I874"/>
      <c r="J874"/>
      <c r="K874"/>
    </row>
    <row r="875" spans="4:11" ht="12.75" hidden="1">
      <c r="D875"/>
      <c r="E875" s="607"/>
      <c r="F875" s="607"/>
      <c r="G875" s="607"/>
      <c r="H875"/>
      <c r="I875"/>
      <c r="J875"/>
      <c r="K875"/>
    </row>
    <row r="876" spans="4:11" ht="12.75" hidden="1">
      <c r="D876"/>
      <c r="E876" s="607"/>
      <c r="F876" s="607"/>
      <c r="G876" s="607"/>
      <c r="H876"/>
      <c r="I876"/>
      <c r="J876"/>
      <c r="K876"/>
    </row>
    <row r="877" spans="4:11" ht="12.75" hidden="1">
      <c r="D877"/>
      <c r="E877" s="607"/>
      <c r="F877" s="607"/>
      <c r="G877" s="607"/>
      <c r="H877"/>
      <c r="I877"/>
      <c r="J877"/>
      <c r="K877"/>
    </row>
    <row r="878" spans="4:11" ht="12.75" hidden="1">
      <c r="D878"/>
      <c r="E878" s="607"/>
      <c r="F878" s="607"/>
      <c r="G878" s="607"/>
      <c r="H878"/>
      <c r="I878"/>
      <c r="J878"/>
      <c r="K878"/>
    </row>
    <row r="879" spans="4:11" ht="12.75" hidden="1">
      <c r="D879"/>
      <c r="E879" s="607"/>
      <c r="F879" s="607"/>
      <c r="G879" s="607"/>
      <c r="H879"/>
      <c r="I879"/>
      <c r="J879"/>
      <c r="K879"/>
    </row>
    <row r="880" spans="4:11" ht="12.75" hidden="1">
      <c r="D880"/>
      <c r="E880" s="607"/>
      <c r="F880" s="607"/>
      <c r="G880" s="607"/>
      <c r="H880"/>
      <c r="I880"/>
      <c r="J880"/>
      <c r="K880"/>
    </row>
    <row r="881" spans="4:11" ht="12.75" hidden="1">
      <c r="D881"/>
      <c r="E881" s="607"/>
      <c r="F881" s="607"/>
      <c r="G881" s="607"/>
      <c r="H881"/>
      <c r="I881"/>
      <c r="J881"/>
      <c r="K881"/>
    </row>
    <row r="882" spans="4:11" ht="12.75" hidden="1">
      <c r="D882"/>
      <c r="E882" s="607"/>
      <c r="F882" s="607"/>
      <c r="G882" s="607"/>
      <c r="H882"/>
      <c r="I882"/>
      <c r="J882"/>
      <c r="K882"/>
    </row>
    <row r="883" spans="4:11" ht="12.75" hidden="1">
      <c r="D883"/>
      <c r="E883" s="607"/>
      <c r="F883" s="607"/>
      <c r="G883" s="607"/>
      <c r="H883"/>
      <c r="I883"/>
      <c r="J883"/>
      <c r="K883"/>
    </row>
    <row r="884" spans="4:11" ht="12.75" hidden="1">
      <c r="D884"/>
      <c r="E884" s="607"/>
      <c r="F884" s="607"/>
      <c r="G884" s="607"/>
      <c r="H884"/>
      <c r="I884"/>
      <c r="J884"/>
      <c r="K884"/>
    </row>
    <row r="885" spans="4:11" ht="12.75" hidden="1">
      <c r="D885"/>
      <c r="E885" s="607"/>
      <c r="F885" s="607"/>
      <c r="G885" s="607"/>
      <c r="H885"/>
      <c r="I885"/>
      <c r="J885"/>
      <c r="K885"/>
    </row>
    <row r="886" spans="4:11" ht="12.75" hidden="1">
      <c r="D886"/>
      <c r="E886" s="607"/>
      <c r="F886" s="607"/>
      <c r="G886" s="607"/>
      <c r="H886"/>
      <c r="I886"/>
      <c r="J886"/>
      <c r="K886"/>
    </row>
    <row r="887" spans="4:11" ht="12.75" hidden="1">
      <c r="D887"/>
      <c r="E887" s="607"/>
      <c r="F887" s="607"/>
      <c r="G887" s="607"/>
      <c r="H887"/>
      <c r="I887"/>
      <c r="J887"/>
      <c r="K887"/>
    </row>
    <row r="888" spans="4:11" ht="12.75" hidden="1">
      <c r="D888"/>
      <c r="E888" s="607"/>
      <c r="F888" s="607"/>
      <c r="G888" s="607"/>
      <c r="H888"/>
      <c r="I888"/>
      <c r="J888"/>
      <c r="K888"/>
    </row>
    <row r="889" spans="4:11" ht="12.75" hidden="1">
      <c r="D889"/>
      <c r="E889" s="607"/>
      <c r="F889" s="607"/>
      <c r="G889" s="607"/>
      <c r="H889"/>
      <c r="I889"/>
      <c r="J889"/>
      <c r="K889"/>
    </row>
    <row r="890" spans="4:11" ht="12.75" hidden="1">
      <c r="D890"/>
      <c r="E890" s="607"/>
      <c r="F890" s="607"/>
      <c r="G890" s="607"/>
      <c r="H890"/>
      <c r="I890"/>
      <c r="J890"/>
      <c r="K890"/>
    </row>
    <row r="891" spans="4:11" ht="12.75" hidden="1">
      <c r="D891"/>
      <c r="E891" s="607"/>
      <c r="F891" s="607"/>
      <c r="G891" s="607"/>
      <c r="H891"/>
      <c r="I891"/>
      <c r="J891"/>
      <c r="K891"/>
    </row>
    <row r="892" spans="4:11" ht="12.75" hidden="1">
      <c r="D892"/>
      <c r="E892" s="607"/>
      <c r="F892" s="607"/>
      <c r="G892" s="607"/>
      <c r="H892"/>
      <c r="I892"/>
      <c r="J892"/>
      <c r="K892"/>
    </row>
    <row r="893" spans="4:11" ht="12.75" hidden="1">
      <c r="D893"/>
      <c r="E893" s="607"/>
      <c r="F893" s="607"/>
      <c r="G893" s="607"/>
      <c r="H893"/>
      <c r="I893"/>
      <c r="J893"/>
      <c r="K893"/>
    </row>
    <row r="894" spans="4:11" ht="12.75" hidden="1">
      <c r="D894"/>
      <c r="E894" s="607"/>
      <c r="F894" s="607"/>
      <c r="G894" s="607"/>
      <c r="H894"/>
      <c r="I894"/>
      <c r="J894"/>
      <c r="K894"/>
    </row>
    <row r="895" spans="4:11" ht="12.75" hidden="1">
      <c r="D895"/>
      <c r="E895" s="607"/>
      <c r="F895" s="607"/>
      <c r="G895" s="607"/>
      <c r="H895"/>
      <c r="I895"/>
      <c r="J895"/>
      <c r="K895"/>
    </row>
    <row r="896" spans="4:11" ht="12.75" hidden="1">
      <c r="D896"/>
      <c r="E896" s="607"/>
      <c r="F896" s="607"/>
      <c r="G896" s="607"/>
      <c r="H896"/>
      <c r="I896"/>
      <c r="J896"/>
      <c r="K896"/>
    </row>
    <row r="897" spans="4:11" ht="12.75" hidden="1">
      <c r="D897"/>
      <c r="E897" s="607"/>
      <c r="F897" s="607"/>
      <c r="G897" s="607"/>
      <c r="H897"/>
      <c r="I897"/>
      <c r="J897"/>
      <c r="K897"/>
    </row>
    <row r="898" spans="4:11" ht="12.75" hidden="1">
      <c r="D898"/>
      <c r="E898" s="607"/>
      <c r="F898" s="607"/>
      <c r="G898" s="607"/>
      <c r="H898"/>
      <c r="I898"/>
      <c r="J898"/>
      <c r="K898"/>
    </row>
    <row r="899" spans="4:11" ht="12.75" hidden="1">
      <c r="D899"/>
      <c r="E899" s="607"/>
      <c r="F899" s="607"/>
      <c r="G899" s="607"/>
      <c r="H899"/>
      <c r="I899"/>
      <c r="J899"/>
      <c r="K899"/>
    </row>
    <row r="900" spans="4:11" ht="12.75" hidden="1">
      <c r="D900"/>
      <c r="E900" s="607"/>
      <c r="F900" s="607"/>
      <c r="G900" s="607"/>
      <c r="H900"/>
      <c r="I900"/>
      <c r="J900"/>
      <c r="K900"/>
    </row>
    <row r="901" spans="4:11" ht="12.75" hidden="1">
      <c r="D901"/>
      <c r="E901" s="607"/>
      <c r="F901" s="607"/>
      <c r="G901" s="607"/>
      <c r="H901"/>
      <c r="I901"/>
      <c r="J901"/>
      <c r="K901"/>
    </row>
    <row r="902" spans="4:11" ht="12.75" hidden="1">
      <c r="D902"/>
      <c r="E902" s="607"/>
      <c r="F902" s="607"/>
      <c r="G902" s="607"/>
      <c r="H902"/>
      <c r="I902"/>
      <c r="J902"/>
      <c r="K902"/>
    </row>
    <row r="903" spans="4:11" ht="12.75" hidden="1">
      <c r="D903"/>
      <c r="E903" s="607"/>
      <c r="F903" s="607"/>
      <c r="G903" s="607"/>
      <c r="H903"/>
      <c r="I903"/>
      <c r="J903"/>
      <c r="K903"/>
    </row>
    <row r="904" spans="4:11" ht="12.75" hidden="1">
      <c r="D904"/>
      <c r="E904" s="607"/>
      <c r="F904" s="607"/>
      <c r="G904" s="607"/>
      <c r="H904"/>
      <c r="I904"/>
      <c r="J904"/>
      <c r="K904"/>
    </row>
    <row r="905" spans="4:11" ht="12.75" hidden="1">
      <c r="D905"/>
      <c r="E905" s="607"/>
      <c r="F905" s="607"/>
      <c r="G905" s="607"/>
      <c r="H905"/>
      <c r="I905"/>
      <c r="J905"/>
      <c r="K905"/>
    </row>
    <row r="906" spans="4:11" ht="12.75" hidden="1">
      <c r="D906"/>
      <c r="E906" s="607"/>
      <c r="F906" s="607"/>
      <c r="G906" s="607"/>
      <c r="H906"/>
      <c r="I906"/>
      <c r="J906"/>
      <c r="K906"/>
    </row>
    <row r="907" spans="4:11" ht="12.75" hidden="1">
      <c r="D907"/>
      <c r="E907" s="607"/>
      <c r="F907" s="607"/>
      <c r="G907" s="607"/>
      <c r="H907"/>
      <c r="I907"/>
      <c r="J907"/>
      <c r="K907"/>
    </row>
    <row r="908" spans="4:11" ht="12.75" hidden="1">
      <c r="D908"/>
      <c r="E908" s="607"/>
      <c r="F908" s="607"/>
      <c r="G908" s="607"/>
      <c r="H908"/>
      <c r="I908"/>
      <c r="J908"/>
      <c r="K908"/>
    </row>
    <row r="909" spans="4:11" ht="12.75" hidden="1">
      <c r="D909"/>
      <c r="E909" s="607"/>
      <c r="F909" s="607"/>
      <c r="G909" s="607"/>
      <c r="H909"/>
      <c r="I909"/>
      <c r="J909"/>
      <c r="K909"/>
    </row>
    <row r="910" spans="4:11" ht="12.75" hidden="1">
      <c r="D910"/>
      <c r="E910" s="607"/>
      <c r="F910" s="607"/>
      <c r="G910" s="607"/>
      <c r="H910"/>
      <c r="I910"/>
      <c r="J910"/>
      <c r="K910"/>
    </row>
    <row r="911" spans="4:11" ht="12.75" hidden="1">
      <c r="D911"/>
      <c r="E911" s="607"/>
      <c r="F911" s="607"/>
      <c r="G911" s="607"/>
      <c r="H911"/>
      <c r="I911"/>
      <c r="J911"/>
      <c r="K911"/>
    </row>
    <row r="912" spans="4:11" ht="12.75" hidden="1">
      <c r="D912"/>
      <c r="E912" s="607"/>
      <c r="F912" s="607"/>
      <c r="G912" s="607"/>
      <c r="H912"/>
      <c r="I912"/>
      <c r="J912"/>
      <c r="K912"/>
    </row>
    <row r="913" spans="4:11" ht="12.75" hidden="1">
      <c r="D913"/>
      <c r="E913" s="607"/>
      <c r="F913" s="607"/>
      <c r="G913" s="607"/>
      <c r="H913"/>
      <c r="I913"/>
      <c r="J913"/>
      <c r="K913"/>
    </row>
    <row r="914" spans="4:11" ht="12.75" hidden="1">
      <c r="D914"/>
      <c r="E914" s="607"/>
      <c r="F914" s="607"/>
      <c r="G914" s="607"/>
      <c r="H914"/>
      <c r="I914"/>
      <c r="J914"/>
      <c r="K914"/>
    </row>
    <row r="915" spans="4:11" ht="12.75" hidden="1">
      <c r="D915"/>
      <c r="E915" s="607"/>
      <c r="F915" s="607"/>
      <c r="G915" s="607"/>
      <c r="H915"/>
      <c r="I915"/>
      <c r="J915"/>
      <c r="K915"/>
    </row>
    <row r="916" spans="4:11" ht="12.75" hidden="1">
      <c r="D916"/>
      <c r="E916" s="607"/>
      <c r="F916" s="607"/>
      <c r="G916" s="607"/>
      <c r="H916"/>
      <c r="I916"/>
      <c r="J916"/>
      <c r="K916"/>
    </row>
    <row r="917" spans="4:11" ht="12.75" hidden="1">
      <c r="D917"/>
      <c r="E917" s="607"/>
      <c r="F917" s="607"/>
      <c r="G917" s="607"/>
      <c r="H917"/>
      <c r="I917"/>
      <c r="J917"/>
      <c r="K917"/>
    </row>
    <row r="918" spans="4:11" ht="12.75" hidden="1">
      <c r="D918"/>
      <c r="E918" s="607"/>
      <c r="F918" s="607"/>
      <c r="G918" s="607"/>
      <c r="H918"/>
      <c r="I918"/>
      <c r="J918"/>
      <c r="K918"/>
    </row>
    <row r="919" spans="4:11" ht="12.75" hidden="1">
      <c r="D919"/>
      <c r="E919" s="607"/>
      <c r="F919" s="607"/>
      <c r="G919" s="607"/>
      <c r="H919"/>
      <c r="I919"/>
      <c r="J919"/>
      <c r="K919"/>
    </row>
    <row r="920" spans="4:11" ht="12.75" hidden="1">
      <c r="D920"/>
      <c r="E920" s="607"/>
      <c r="F920" s="607"/>
      <c r="G920" s="607"/>
      <c r="H920"/>
      <c r="I920"/>
      <c r="J920"/>
      <c r="K920"/>
    </row>
    <row r="921" spans="4:11" ht="12.75" hidden="1">
      <c r="D921"/>
      <c r="E921" s="607"/>
      <c r="F921" s="607"/>
      <c r="G921" s="607"/>
      <c r="H921"/>
      <c r="I921"/>
      <c r="J921"/>
      <c r="K921"/>
    </row>
    <row r="922" spans="4:11" ht="12.75" hidden="1">
      <c r="D922"/>
      <c r="E922" s="607"/>
      <c r="F922" s="607"/>
      <c r="G922" s="607"/>
      <c r="H922"/>
      <c r="I922"/>
      <c r="J922"/>
      <c r="K922"/>
    </row>
    <row r="923" spans="4:11" ht="12.75" hidden="1">
      <c r="D923"/>
      <c r="E923" s="607"/>
      <c r="F923" s="607"/>
      <c r="G923" s="607"/>
      <c r="H923"/>
      <c r="I923"/>
      <c r="J923"/>
      <c r="K923"/>
    </row>
    <row r="924" spans="4:11" ht="12.75" hidden="1">
      <c r="D924"/>
      <c r="E924" s="607"/>
      <c r="F924" s="607"/>
      <c r="G924" s="607"/>
      <c r="H924"/>
      <c r="I924"/>
      <c r="J924"/>
      <c r="K924"/>
    </row>
    <row r="925" spans="4:11" ht="12.75" hidden="1">
      <c r="D925"/>
      <c r="E925" s="607"/>
      <c r="F925" s="607"/>
      <c r="G925" s="607"/>
      <c r="H925"/>
      <c r="I925"/>
      <c r="J925"/>
      <c r="K925"/>
    </row>
    <row r="926" spans="4:11" ht="12.75" hidden="1">
      <c r="D926"/>
      <c r="E926" s="607"/>
      <c r="F926" s="607"/>
      <c r="G926" s="607"/>
      <c r="H926"/>
      <c r="I926"/>
      <c r="J926"/>
      <c r="K926"/>
    </row>
    <row r="927" spans="4:11" ht="12.75" hidden="1">
      <c r="D927"/>
      <c r="E927" s="607"/>
      <c r="F927" s="607"/>
      <c r="G927" s="607"/>
      <c r="H927"/>
      <c r="I927"/>
      <c r="J927"/>
      <c r="K927"/>
    </row>
    <row r="928" spans="4:11" ht="12.75" hidden="1">
      <c r="D928"/>
      <c r="E928" s="607"/>
      <c r="F928" s="607"/>
      <c r="G928" s="607"/>
      <c r="H928"/>
      <c r="I928"/>
      <c r="J928"/>
      <c r="K928"/>
    </row>
    <row r="929" spans="4:11" ht="12.75" hidden="1">
      <c r="D929"/>
      <c r="E929" s="607"/>
      <c r="F929" s="607"/>
      <c r="G929" s="607"/>
      <c r="H929"/>
      <c r="I929"/>
      <c r="J929"/>
      <c r="K929"/>
    </row>
    <row r="930" spans="4:11" ht="12.75" hidden="1">
      <c r="D930"/>
      <c r="E930" s="607"/>
      <c r="F930" s="607"/>
      <c r="G930" s="607"/>
      <c r="H930"/>
      <c r="I930"/>
      <c r="J930"/>
      <c r="K930"/>
    </row>
    <row r="931" spans="6:7" ht="12" hidden="1">
      <c r="F931" s="614"/>
      <c r="G931" s="614"/>
    </row>
    <row r="932" spans="6:7" ht="12" hidden="1">
      <c r="F932" s="614"/>
      <c r="G932" s="614"/>
    </row>
    <row r="933" spans="6:7" ht="12" hidden="1">
      <c r="F933" s="614"/>
      <c r="G933" s="614"/>
    </row>
    <row r="934" spans="6:7" ht="12" hidden="1">
      <c r="F934" s="614"/>
      <c r="G934" s="614"/>
    </row>
    <row r="935" spans="6:7" ht="12" hidden="1">
      <c r="F935" s="614"/>
      <c r="G935" s="614"/>
    </row>
    <row r="936" spans="6:7" ht="12" hidden="1">
      <c r="F936" s="614"/>
      <c r="G936" s="614"/>
    </row>
    <row r="937" spans="6:7" ht="12" hidden="1">
      <c r="F937" s="614"/>
      <c r="G937" s="614"/>
    </row>
    <row r="938" spans="6:7" ht="12" hidden="1">
      <c r="F938" s="614"/>
      <c r="G938" s="614"/>
    </row>
    <row r="939" spans="6:7" ht="12" hidden="1">
      <c r="F939" s="614"/>
      <c r="G939" s="614"/>
    </row>
    <row r="940" spans="6:7" ht="12" hidden="1">
      <c r="F940" s="614"/>
      <c r="G940" s="614"/>
    </row>
    <row r="941" spans="6:7" ht="12" hidden="1">
      <c r="F941" s="614"/>
      <c r="G941" s="614"/>
    </row>
    <row r="942" spans="6:7" ht="12">
      <c r="F942" s="614"/>
      <c r="G942" s="614"/>
    </row>
    <row r="943" spans="6:7" ht="12">
      <c r="F943" s="614"/>
      <c r="G943" s="614"/>
    </row>
    <row r="944" spans="6:7" ht="12">
      <c r="F944" s="614"/>
      <c r="G944" s="614"/>
    </row>
    <row r="945" spans="6:7" ht="12">
      <c r="F945" s="614"/>
      <c r="G945" s="614"/>
    </row>
    <row r="946" spans="6:7" ht="12">
      <c r="F946" s="614"/>
      <c r="G946" s="614"/>
    </row>
    <row r="947" spans="6:7" ht="12">
      <c r="F947" s="614"/>
      <c r="G947" s="614"/>
    </row>
    <row r="948" ht="12"/>
    <row r="949" ht="12"/>
    <row r="950" ht="12"/>
    <row r="951" ht="12"/>
  </sheetData>
  <sheetProtection/>
  <mergeCells count="12">
    <mergeCell ref="F1:F2"/>
    <mergeCell ref="F3:F11"/>
    <mergeCell ref="A140:C140"/>
    <mergeCell ref="E1:E2"/>
    <mergeCell ref="A136:B136"/>
    <mergeCell ref="A137:B137"/>
    <mergeCell ref="A5:C5"/>
    <mergeCell ref="A138:C138"/>
    <mergeCell ref="A1:B1"/>
    <mergeCell ref="A2:B2"/>
    <mergeCell ref="A3:C3"/>
    <mergeCell ref="E3:E11"/>
  </mergeCells>
  <conditionalFormatting sqref="F1 F3 E1:E3">
    <cfRule type="expression" priority="2" dxfId="20" stopIfTrue="1">
      <formula>$F$1=""</formula>
    </cfRule>
    <cfRule type="expression" priority="3" dxfId="21" stopIfTrue="1">
      <formula>$F$1&gt;0</formula>
    </cfRule>
  </conditionalFormatting>
  <conditionalFormatting sqref="A31:B31">
    <cfRule type="expression" priority="5" dxfId="10" stopIfTrue="1">
      <formula>$C$39&gt;0</formula>
    </cfRule>
  </conditionalFormatting>
  <conditionalFormatting sqref="A32:B32">
    <cfRule type="expression" priority="6" dxfId="9" stopIfTrue="1">
      <formula>$C$39&gt;0</formula>
    </cfRule>
  </conditionalFormatting>
  <conditionalFormatting sqref="A34:B34">
    <cfRule type="expression" priority="8" dxfId="3" stopIfTrue="1">
      <formula>$C$40&gt;0</formula>
    </cfRule>
  </conditionalFormatting>
  <conditionalFormatting sqref="A35:B35">
    <cfRule type="expression" priority="10" dxfId="5" stopIfTrue="1">
      <formula>$C$40&gt;0</formula>
    </cfRule>
  </conditionalFormatting>
  <conditionalFormatting sqref="A37:B37">
    <cfRule type="expression" priority="12" dxfId="3" stopIfTrue="1">
      <formula>$C$41&gt;0</formula>
    </cfRule>
  </conditionalFormatting>
  <conditionalFormatting sqref="A38:B38">
    <cfRule type="expression" priority="14" dxfId="1" stopIfTrue="1">
      <formula>$C$41&gt;0</formula>
    </cfRule>
  </conditionalFormatting>
  <conditionalFormatting sqref="E1:F11">
    <cfRule type="expression" priority="1" dxfId="22">
      <formula>$F$1&lt;&gt;""</formula>
    </cfRule>
  </conditionalFormatting>
  <dataValidations count="3">
    <dataValidation type="whole" allowBlank="1" showInputMessage="1" showErrorMessage="1" errorTitle="CUIDADO.." error="Debe registrar cifras enteras sin puntos ni comas.&#10;&#10;CANOBO - 2007" sqref="C31:C32 C37:C38 C34:C35">
      <formula1>0</formula1>
      <formula2>2000000000</formula2>
    </dataValidation>
    <dataValidation type="whole" allowBlank="1" showInputMessage="1" showErrorMessage="1" errorTitle="CUIDADO.." error="Debe registrar cifras enteras sin puntos ni comas." sqref="C12:C15 C256:C262 C374:C379 C365:C367 C360:C362 C108:C109 C347:C355 C319:C322 C317 C314 C311:C312 C306:C307 C290:C301 C288 C282:C285 C280 C274:C275 C383:C389 C247:C253 C240 C234 C330:C336 C210:C214 C202 C195 C189 C173:C175 C170:C171 C167 C162:C164 C154 C118:C128 C264:C271 C111:C114 C85:C86 C24:C25 C79:C80 C76:C77 C73:C74 C70:C71 C67:C68 C64:C65 C61:C62 C58:C59 C55:C56 C52:C53 C49:C50 C46:C47 C43:C44 C27:C28 C82:C83 C89:C96 C103:C106 C338:C341 C98:C101 C217:C218 C220">
      <formula1>0</formula1>
      <formula2>100000000000000</formula2>
    </dataValidation>
    <dataValidation type="custom" allowBlank="1" showInputMessage="1" showErrorMessage="1" errorTitle="CUIDADO.." error="Debe registrar cifras enteras sin puntos ni comas." sqref="C102">
      <formula1>+IF(SUM(C39:C41)&gt;1,0)</formula1>
    </dataValidation>
  </dataValidations>
  <printOptions horizontalCentered="1"/>
  <pageMargins left="0.3937007874015748" right="0.1968503937007874" top="0.3937007874015748" bottom="0.984251968503937" header="0.1968503937007874" footer="0.7874015748031497"/>
  <pageSetup horizontalDpi="600" verticalDpi="600" orientation="portrait" scale="75" r:id="rId3"/>
  <headerFooter alignWithMargins="0">
    <oddFooter>&amp;C&amp;A  -  Página &amp;P</oddFooter>
  </headerFooter>
  <rowBreaks count="3" manualBreakCount="3">
    <brk id="53" max="255" man="1"/>
    <brk id="135" max="255" man="1"/>
    <brk id="355" max="255" man="1"/>
  </rowBreaks>
  <legacyDrawing r:id="rId2"/>
</worksheet>
</file>

<file path=xl/worksheets/sheet8.xml><?xml version="1.0" encoding="utf-8"?>
<worksheet xmlns="http://schemas.openxmlformats.org/spreadsheetml/2006/main" xmlns:r="http://schemas.openxmlformats.org/officeDocument/2006/relationships">
  <sheetPr codeName="Hoja7"/>
  <dimension ref="A1:C256"/>
  <sheetViews>
    <sheetView showGridLines="0" zoomScale="75" zoomScaleNormal="75" zoomScalePageLayoutView="0" workbookViewId="0" topLeftCell="A1">
      <selection activeCell="A1" sqref="A1:B1"/>
    </sheetView>
  </sheetViews>
  <sheetFormatPr defaultColWidth="0" defaultRowHeight="12.75" zeroHeight="1"/>
  <cols>
    <col min="1" max="1" width="13.8515625" style="0" customWidth="1"/>
    <col min="2" max="2" width="73.57421875" style="0" customWidth="1"/>
    <col min="3" max="3" width="34.421875" style="0" customWidth="1"/>
    <col min="4" max="4" width="3.140625" style="0" customWidth="1"/>
    <col min="5" max="16384" width="0" style="0" hidden="1" customWidth="1"/>
  </cols>
  <sheetData>
    <row r="1" spans="1:3" ht="17.25" thickTop="1">
      <c r="A1" s="727" t="s">
        <v>355</v>
      </c>
      <c r="B1" s="728"/>
      <c r="C1" s="254" t="s">
        <v>356</v>
      </c>
    </row>
    <row r="2" spans="1:3" ht="27" thickBot="1">
      <c r="A2" s="729" t="s">
        <v>16</v>
      </c>
      <c r="B2" s="730"/>
      <c r="C2" s="255">
        <f>+'Información general'!$C$5</f>
        <v>2021</v>
      </c>
    </row>
    <row r="3" spans="1:3" ht="18.75" thickBot="1">
      <c r="A3" s="731" t="str">
        <f>+CONCATENATE('Información general'!$B$3,"  -  ",'Información general'!$B$4)</f>
        <v>ITAGUI  -  ESE HOSPITAL SAN RAFAEL DE ITAGUI</v>
      </c>
      <c r="B3" s="732"/>
      <c r="C3" s="733"/>
    </row>
    <row r="4" spans="1:3" ht="13.5" thickBot="1">
      <c r="A4" s="256"/>
      <c r="B4" s="61"/>
      <c r="C4" s="257"/>
    </row>
    <row r="5" spans="1:3" ht="24" thickBot="1">
      <c r="A5" s="723" t="s">
        <v>360</v>
      </c>
      <c r="B5" s="724"/>
      <c r="C5" s="725"/>
    </row>
    <row r="6" spans="1:3" ht="13.5" thickBot="1">
      <c r="A6" s="258" t="s">
        <v>17</v>
      </c>
      <c r="B6" s="217" t="s">
        <v>372</v>
      </c>
      <c r="C6" s="259" t="s">
        <v>357</v>
      </c>
    </row>
    <row r="7" spans="1:3" ht="9.75" customHeight="1">
      <c r="A7" s="260"/>
      <c r="B7" s="243"/>
      <c r="C7" s="261"/>
    </row>
    <row r="8" spans="1:3" ht="23.25">
      <c r="A8" s="262">
        <f>+IF('Datos a presupuestar'!A143=0,"",'Datos a presupuestar'!A143)</f>
      </c>
      <c r="B8" s="224" t="str">
        <f>+IF('Datos a presupuestar'!B143=0,"",'Datos a presupuestar'!B143)</f>
        <v>GASTOS</v>
      </c>
      <c r="C8" s="263">
        <f>C10+C189+C222+C234+C256</f>
        <v>0</v>
      </c>
    </row>
    <row r="9" spans="1:3" ht="9.75" customHeight="1" thickBot="1">
      <c r="A9" s="264">
        <f>+IF('Datos a presupuestar'!A144=0,"",'Datos a presupuestar'!A144)</f>
      </c>
      <c r="B9" s="252">
        <f>+IF('Datos a presupuestar'!B144=0,"",'Datos a presupuestar'!B144)</f>
      </c>
      <c r="C9" s="265"/>
    </row>
    <row r="10" spans="1:3" ht="18">
      <c r="A10" s="266" t="str">
        <f>+IF('Datos a presupuestar'!A145=0,"",'Datos a presupuestar'!A145)</f>
        <v>A</v>
      </c>
      <c r="B10" s="253" t="str">
        <f>+IF('Datos a presupuestar'!B145=0,"",'Datos a presupuestar'!B145)</f>
        <v>GASTOS DE FUNCIONAMIENTO</v>
      </c>
      <c r="C10" s="267">
        <f>C12+C107+C168</f>
        <v>0</v>
      </c>
    </row>
    <row r="11" spans="1:3" ht="12.75">
      <c r="A11" s="268">
        <f>+IF('Datos a presupuestar'!A146=0,"",'Datos a presupuestar'!A146)</f>
      </c>
      <c r="B11" s="223">
        <f>+IF('Datos a presupuestar'!B146=0,"",'Datos a presupuestar'!B146)</f>
      </c>
      <c r="C11" s="269"/>
    </row>
    <row r="12" spans="1:3" ht="16.5">
      <c r="A12" s="270">
        <f>+IF('Datos a presupuestar'!A147=0,"",'Datos a presupuestar'!A147)</f>
        <v>1000000</v>
      </c>
      <c r="B12" s="245" t="str">
        <f>+IF('Datos a presupuestar'!B147=0,"",'Datos a presupuestar'!B147)</f>
        <v>GASTOS DE PERSONAL</v>
      </c>
      <c r="C12" s="271">
        <f>C14+C62</f>
        <v>0</v>
      </c>
    </row>
    <row r="13" spans="1:3" ht="12.75">
      <c r="A13" s="268">
        <f>+IF('Datos a presupuestar'!A148=0,"",'Datos a presupuestar'!A148)</f>
      </c>
      <c r="B13" s="223">
        <f>+IF('Datos a presupuestar'!B148=0,"",'Datos a presupuestar'!B148)</f>
      </c>
      <c r="C13" s="269"/>
    </row>
    <row r="14" spans="1:3" ht="15.75">
      <c r="A14" s="272">
        <f>+IF('Datos a presupuestar'!A149=0,"",'Datos a presupuestar'!A149)</f>
        <v>1010000</v>
      </c>
      <c r="B14" s="218" t="str">
        <f>+IF('Datos a presupuestar'!B149=0,"",'Datos a presupuestar'!B149)</f>
        <v>Gastos de Administración</v>
      </c>
      <c r="C14" s="273">
        <f>C16+C34+C42+C56</f>
        <v>0</v>
      </c>
    </row>
    <row r="15" spans="1:3" ht="12.75">
      <c r="A15" s="268">
        <f>+IF('Datos a presupuestar'!A150=0,"",'Datos a presupuestar'!A150)</f>
      </c>
      <c r="B15" s="223">
        <f>+IF('Datos a presupuestar'!B150=0,"",'Datos a presupuestar'!B150)</f>
      </c>
      <c r="C15" s="269"/>
    </row>
    <row r="16" spans="1:3" ht="15">
      <c r="A16" s="274">
        <f>+IF('Datos a presupuestar'!A151=0,"",'Datos a presupuestar'!A151)</f>
        <v>1010100</v>
      </c>
      <c r="B16" s="249" t="str">
        <f>+IF('Datos a presupuestar'!B151=0,"",'Datos a presupuestar'!B151)</f>
        <v>Servicios Personales Asociados a Nómina</v>
      </c>
      <c r="C16" s="299">
        <f>SUM(C17:C20)+C32</f>
        <v>0</v>
      </c>
    </row>
    <row r="17" spans="1:3" ht="14.25">
      <c r="A17" s="275">
        <f>+IF('Datos a presupuestar'!A152=0,"",'Datos a presupuestar'!A152)</f>
        <v>1010101</v>
      </c>
      <c r="B17" s="242" t="str">
        <f>+IF('Datos a presupuestar'!B152=0,"",'Datos a presupuestar'!B152)</f>
        <v>Sueldos del Personal de nómina</v>
      </c>
      <c r="C17" s="303">
        <v>0</v>
      </c>
    </row>
    <row r="18" spans="1:3" ht="14.25">
      <c r="A18" s="275">
        <f>+IF('Datos a presupuestar'!A153=0,"",'Datos a presupuestar'!A153)</f>
        <v>1010102</v>
      </c>
      <c r="B18" s="242" t="str">
        <f>+IF('Datos a presupuestar'!B153=0,"",'Datos a presupuestar'!B153)</f>
        <v>Horas Extras,Dominic.,Festivos y Rec. Nocturnos</v>
      </c>
      <c r="C18" s="303">
        <v>0</v>
      </c>
    </row>
    <row r="19" spans="1:3" ht="14.25">
      <c r="A19" s="275">
        <f>+IF('Datos a presupuestar'!A154=0,"",'Datos a presupuestar'!A154)</f>
        <v>1010103</v>
      </c>
      <c r="B19" s="242" t="str">
        <f>+IF('Datos a presupuestar'!B154=0,"",'Datos a presupuestar'!B154)</f>
        <v>Prima Técnica</v>
      </c>
      <c r="C19" s="303">
        <v>0</v>
      </c>
    </row>
    <row r="20" spans="1:3" ht="14.25">
      <c r="A20" s="275">
        <f>+IF('Datos a presupuestar'!A155=0,"",'Datos a presupuestar'!A155)</f>
        <v>1010104</v>
      </c>
      <c r="B20" s="242" t="str">
        <f>+IF('Datos a presupuestar'!B155=0,"",'Datos a presupuestar'!B155)</f>
        <v>Otros</v>
      </c>
      <c r="C20" s="277">
        <f>SUM(C21:C31)</f>
        <v>0</v>
      </c>
    </row>
    <row r="21" spans="1:3" ht="12.75">
      <c r="A21" s="278" t="str">
        <f>+IF('Datos a presupuestar'!A156=0,"",'Datos a presupuestar'!A156)</f>
        <v>1010104-1</v>
      </c>
      <c r="B21" s="251" t="str">
        <f>+IF('Datos a presupuestar'!B156=0,"",'Datos a presupuestar'!B156)</f>
        <v>Prima de Navidad </v>
      </c>
      <c r="C21" s="304">
        <v>0</v>
      </c>
    </row>
    <row r="22" spans="1:3" ht="12.75">
      <c r="A22" s="278" t="str">
        <f>+IF('Datos a presupuestar'!A157=0,"",'Datos a presupuestar'!A157)</f>
        <v>1010104-2</v>
      </c>
      <c r="B22" s="251" t="str">
        <f>+IF('Datos a presupuestar'!B157=0,"",'Datos a presupuestar'!B157)</f>
        <v>Prima de Vacaciones</v>
      </c>
      <c r="C22" s="304">
        <v>0</v>
      </c>
    </row>
    <row r="23" spans="1:3" ht="12.75">
      <c r="A23" s="278" t="str">
        <f>+IF('Datos a presupuestar'!A158=0,"",'Datos a presupuestar'!A158)</f>
        <v>1010104-3</v>
      </c>
      <c r="B23" s="251" t="str">
        <f>+IF('Datos a presupuestar'!B158=0,"",'Datos a presupuestar'!B158)</f>
        <v>Bonificación  por servicios prestados</v>
      </c>
      <c r="C23" s="304">
        <v>0</v>
      </c>
    </row>
    <row r="24" spans="1:3" ht="12.75">
      <c r="A24" s="278" t="str">
        <f>+IF('Datos a presupuestar'!A159=0,"",'Datos a presupuestar'!A159)</f>
        <v>1010104-4</v>
      </c>
      <c r="B24" s="251" t="str">
        <f>+IF('Datos a presupuestar'!B159=0,"",'Datos a presupuestar'!B159)</f>
        <v>Prima de Servicios</v>
      </c>
      <c r="C24" s="304">
        <v>0</v>
      </c>
    </row>
    <row r="25" spans="1:3" ht="12.75">
      <c r="A25" s="278" t="str">
        <f>+IF('Datos a presupuestar'!A160=0,"",'Datos a presupuestar'!A160)</f>
        <v>1010104-5</v>
      </c>
      <c r="B25" s="251" t="str">
        <f>+IF('Datos a presupuestar'!B160=0,"",'Datos a presupuestar'!B160)</f>
        <v>Bonificación Convencional</v>
      </c>
      <c r="C25" s="304">
        <v>0</v>
      </c>
    </row>
    <row r="26" spans="1:3" ht="12.75">
      <c r="A26" s="278" t="str">
        <f>+IF('Datos a presupuestar'!A161=0,"",'Datos a presupuestar'!A161)</f>
        <v>1010104-6</v>
      </c>
      <c r="B26" s="251" t="str">
        <f>+IF('Datos a presupuestar'!B161=0,"",'Datos a presupuestar'!B161)</f>
        <v>Auxilio de Transporte</v>
      </c>
      <c r="C26" s="304">
        <v>0</v>
      </c>
    </row>
    <row r="27" spans="1:3" ht="12.75">
      <c r="A27" s="278" t="str">
        <f>+IF('Datos a presupuestar'!A162=0,"",'Datos a presupuestar'!A162)</f>
        <v>1010104-7</v>
      </c>
      <c r="B27" s="251" t="str">
        <f>+IF('Datos a presupuestar'!B162=0,"",'Datos a presupuestar'!B162)</f>
        <v>Auxilio de Alimentación</v>
      </c>
      <c r="C27" s="304">
        <v>0</v>
      </c>
    </row>
    <row r="28" spans="1:3" ht="12.75">
      <c r="A28" s="278" t="str">
        <f>+IF('Datos a presupuestar'!A163=0,"",'Datos a presupuestar'!A163)</f>
        <v>1010104-8</v>
      </c>
      <c r="B28" s="251" t="str">
        <f>+IF('Datos a presupuestar'!B163=0,"",'Datos a presupuestar'!B163)</f>
        <v>Gastos de Representación</v>
      </c>
      <c r="C28" s="304">
        <v>0</v>
      </c>
    </row>
    <row r="29" spans="1:3" ht="12.75">
      <c r="A29" s="278" t="str">
        <f>+IF('Datos a presupuestar'!A164=0,"",'Datos a presupuestar'!A164)</f>
        <v>1010104-9</v>
      </c>
      <c r="B29" s="251" t="str">
        <f>+IF('Datos a presupuestar'!B164=0,"",'Datos a presupuestar'!B164)</f>
        <v>Indemnizaciones por Vacaciones o Supresión de Cargos por Reestructuración</v>
      </c>
      <c r="C29" s="304">
        <v>0</v>
      </c>
    </row>
    <row r="30" spans="1:3" ht="12.75">
      <c r="A30" s="278" t="str">
        <f>+IF('Datos a presupuestar'!A165=0,"",'Datos a presupuestar'!A165)</f>
        <v>1010104-10</v>
      </c>
      <c r="B30" s="251" t="str">
        <f>+IF('Datos a presupuestar'!B165=0,"",'Datos a presupuestar'!B165)</f>
        <v>Bonificación Especial por Recreación</v>
      </c>
      <c r="C30" s="304">
        <v>0</v>
      </c>
    </row>
    <row r="31" spans="1:3" ht="12.75">
      <c r="A31" s="278" t="str">
        <f>+IF('Datos a presupuestar'!A166=0,"",'Datos a presupuestar'!A166)</f>
        <v>1010104-11</v>
      </c>
      <c r="B31" s="251">
        <f>+IF('Datos a presupuestar'!B166=0,"",'Datos a presupuestar'!B166)</f>
      </c>
      <c r="C31" s="304">
        <v>0</v>
      </c>
    </row>
    <row r="32" spans="1:3" ht="14.25">
      <c r="A32" s="280">
        <f>+IF('Datos a presupuestar'!A167=0,"",'Datos a presupuestar'!A167)</f>
        <v>1010199</v>
      </c>
      <c r="B32" s="250" t="str">
        <f>+IF('Datos a presupuestar'!B167=0,"",'Datos a presupuestar'!B167)</f>
        <v>Vigencias Anteriores</v>
      </c>
      <c r="C32" s="303">
        <v>0</v>
      </c>
    </row>
    <row r="33" spans="1:3" ht="12.75">
      <c r="A33" s="268">
        <f>+IF('Datos a presupuestar'!A168=0,"",'Datos a presupuestar'!A168)</f>
      </c>
      <c r="B33" s="223">
        <f>+IF('Datos a presupuestar'!B168=0,"",'Datos a presupuestar'!B168)</f>
      </c>
      <c r="C33" s="269"/>
    </row>
    <row r="34" spans="1:3" ht="15">
      <c r="A34" s="274">
        <f>+IF('Datos a presupuestar'!A169=0,"",'Datos a presupuestar'!A169)</f>
        <v>1010200</v>
      </c>
      <c r="B34" s="249" t="str">
        <f>+IF('Datos a presupuestar'!B169=0,"",'Datos a presupuestar'!B169)</f>
        <v>Servicios Personales Indirectos</v>
      </c>
      <c r="C34" s="299">
        <f>SUM(C35:C40)</f>
        <v>0</v>
      </c>
    </row>
    <row r="35" spans="1:3" ht="14.25">
      <c r="A35" s="275" t="str">
        <f>+IF('Datos a presupuestar'!A170=0,"",'Datos a presupuestar'!A170)</f>
        <v>1010200-1</v>
      </c>
      <c r="B35" s="242" t="str">
        <f>+IF('Datos a presupuestar'!B170=0,"",'Datos a presupuestar'!B170)</f>
        <v>Remuneración por Servicios Técnicos</v>
      </c>
      <c r="C35" s="303">
        <v>0</v>
      </c>
    </row>
    <row r="36" spans="1:3" ht="14.25">
      <c r="A36" s="275" t="str">
        <f>+IF('Datos a presupuestar'!A171=0,"",'Datos a presupuestar'!A171)</f>
        <v>1010200-2</v>
      </c>
      <c r="B36" s="242" t="str">
        <f>+IF('Datos a presupuestar'!B171=0,"",'Datos a presupuestar'!B171)</f>
        <v>Personal Supernumerario</v>
      </c>
      <c r="C36" s="303">
        <v>0</v>
      </c>
    </row>
    <row r="37" spans="1:3" ht="14.25">
      <c r="A37" s="275" t="str">
        <f>+IF('Datos a presupuestar'!A172=0,"",'Datos a presupuestar'!A172)</f>
        <v>1010200-3</v>
      </c>
      <c r="B37" s="242" t="str">
        <f>+IF('Datos a presupuestar'!B172=0,"",'Datos a presupuestar'!B172)</f>
        <v>Honorarios de la Junta Directiva</v>
      </c>
      <c r="C37" s="303">
        <v>0</v>
      </c>
    </row>
    <row r="38" spans="1:3" ht="14.25">
      <c r="A38" s="275" t="str">
        <f>+IF('Datos a presupuestar'!A173=0,"",'Datos a presupuestar'!A173)</f>
        <v>1010200-4</v>
      </c>
      <c r="B38" s="242" t="str">
        <f>+IF('Datos a presupuestar'!B173=0,"",'Datos a presupuestar'!B173)</f>
        <v>Otros Honorarios</v>
      </c>
      <c r="C38" s="303">
        <v>0</v>
      </c>
    </row>
    <row r="39" spans="1:3" ht="14.25">
      <c r="A39" s="275" t="str">
        <f>+IF('Datos a presupuestar'!A174=0,"",'Datos a presupuestar'!A174)</f>
        <v>1010200-5</v>
      </c>
      <c r="B39" s="242" t="str">
        <f>+IF('Datos a presupuestar'!B174=0,"",'Datos a presupuestar'!B174)</f>
        <v>Certificación, Habilitación Y Acreditación</v>
      </c>
      <c r="C39" s="303">
        <v>0</v>
      </c>
    </row>
    <row r="40" spans="1:3" ht="14.25">
      <c r="A40" s="280">
        <f>+IF('Datos a presupuestar'!A175=0,"",'Datos a presupuestar'!A175)</f>
        <v>1010299</v>
      </c>
      <c r="B40" s="250" t="str">
        <f>+IF('Datos a presupuestar'!B175=0,"",'Datos a presupuestar'!B175)</f>
        <v>Vigencias Anteriores</v>
      </c>
      <c r="C40" s="303">
        <v>0</v>
      </c>
    </row>
    <row r="41" spans="1:3" ht="12.75">
      <c r="A41" s="268">
        <f>+IF('Datos a presupuestar'!A176=0,"",'Datos a presupuestar'!A176)</f>
      </c>
      <c r="B41" s="223">
        <f>+IF('Datos a presupuestar'!B176=0,"",'Datos a presupuestar'!B176)</f>
      </c>
      <c r="C41" s="269"/>
    </row>
    <row r="42" spans="1:3" ht="15">
      <c r="A42" s="274">
        <f>+IF('Datos a presupuestar'!A177=0,"",'Datos a presupuestar'!A177)</f>
        <v>1010300</v>
      </c>
      <c r="B42" s="249" t="str">
        <f>+IF('Datos a presupuestar'!B177=0,"",'Datos a presupuestar'!B177)</f>
        <v>Contribuciones Inherentes nómina al Sector Privado</v>
      </c>
      <c r="C42" s="299">
        <f>C43+C48+C54</f>
        <v>0</v>
      </c>
    </row>
    <row r="43" spans="1:3" ht="14.25">
      <c r="A43" s="275">
        <f>+IF('Datos a presupuestar'!A178=0,"",'Datos a presupuestar'!A178)</f>
        <v>1010301</v>
      </c>
      <c r="B43" s="242" t="str">
        <f>+IF('Datos a presupuestar'!B178=0,"",'Datos a presupuestar'!B178)</f>
        <v>Contribuciones - SGP - Aportes Patronales - Cuentas Maestras</v>
      </c>
      <c r="C43" s="276">
        <f>SUM(C44:C47)</f>
        <v>0</v>
      </c>
    </row>
    <row r="44" spans="1:3" ht="12.75">
      <c r="A44" s="278" t="str">
        <f>+IF('Datos a presupuestar'!A179=0,"",'Datos a presupuestar'!A179)</f>
        <v>1010301-1</v>
      </c>
      <c r="B44" s="251" t="str">
        <f>+IF('Datos a presupuestar'!B179=0,"",'Datos a presupuestar'!B179)</f>
        <v>E.P.S. - Aportes cuentas maestras</v>
      </c>
      <c r="C44" s="304">
        <v>0</v>
      </c>
    </row>
    <row r="45" spans="1:3" ht="12.75">
      <c r="A45" s="278" t="str">
        <f>+IF('Datos a presupuestar'!A180=0,"",'Datos a presupuestar'!A180)</f>
        <v>1010301-2</v>
      </c>
      <c r="B45" s="251" t="str">
        <f>+IF('Datos a presupuestar'!B180=0,"",'Datos a presupuestar'!B180)</f>
        <v>Fondos pensionales - Aportes cuentas maestras</v>
      </c>
      <c r="C45" s="304">
        <v>0</v>
      </c>
    </row>
    <row r="46" spans="1:3" ht="12.75">
      <c r="A46" s="278" t="str">
        <f>+IF('Datos a presupuestar'!A181=0,"",'Datos a presupuestar'!A181)</f>
        <v>1010301-3</v>
      </c>
      <c r="B46" s="251" t="str">
        <f>+IF('Datos a presupuestar'!B181=0,"",'Datos a presupuestar'!B181)</f>
        <v>Fondos de cesantías - Aportes cuentas maestras</v>
      </c>
      <c r="C46" s="304">
        <v>0</v>
      </c>
    </row>
    <row r="47" spans="1:3" ht="12.75">
      <c r="A47" s="278" t="str">
        <f>+IF('Datos a presupuestar'!A182=0,"",'Datos a presupuestar'!A182)</f>
        <v>1010301-4</v>
      </c>
      <c r="B47" s="251" t="str">
        <f>+IF('Datos a presupuestar'!B182=0,"",'Datos a presupuestar'!B182)</f>
        <v>Riesgos laborales - Aportes cuentas maestras</v>
      </c>
      <c r="C47" s="304">
        <v>0</v>
      </c>
    </row>
    <row r="48" spans="1:3" ht="14.25">
      <c r="A48" s="275">
        <f>+IF('Datos a presupuestar'!A183=0,"",'Datos a presupuestar'!A183)</f>
        <v>1010302</v>
      </c>
      <c r="B48" s="242" t="str">
        <f>+IF('Datos a presupuestar'!B183=0,"",'Datos a presupuestar'!B183)</f>
        <v>Contribuciones - Otros</v>
      </c>
      <c r="C48" s="276">
        <f>SUM(C49:C53)</f>
        <v>0</v>
      </c>
    </row>
    <row r="49" spans="1:3" ht="12.75">
      <c r="A49" s="278" t="str">
        <f>+IF('Datos a presupuestar'!A184=0,"",'Datos a presupuestar'!A184)</f>
        <v>1010302-1</v>
      </c>
      <c r="B49" s="251" t="str">
        <f>+IF('Datos a presupuestar'!B184=0,"",'Datos a presupuestar'!B184)</f>
        <v>E.P.S. - Aportes con recursos propios</v>
      </c>
      <c r="C49" s="304">
        <v>0</v>
      </c>
    </row>
    <row r="50" spans="1:3" ht="12.75">
      <c r="A50" s="278" t="str">
        <f>+IF('Datos a presupuestar'!A185=0,"",'Datos a presupuestar'!A185)</f>
        <v>1010302-2</v>
      </c>
      <c r="B50" s="251" t="str">
        <f>+IF('Datos a presupuestar'!B185=0,"",'Datos a presupuestar'!B185)</f>
        <v>Fondos pensionales - Aportes con recursos propios</v>
      </c>
      <c r="C50" s="304">
        <v>0</v>
      </c>
    </row>
    <row r="51" spans="1:3" ht="12.75">
      <c r="A51" s="278" t="str">
        <f>+IF('Datos a presupuestar'!A186=0,"",'Datos a presupuestar'!A186)</f>
        <v>1010302-3</v>
      </c>
      <c r="B51" s="251" t="str">
        <f>+IF('Datos a presupuestar'!B186=0,"",'Datos a presupuestar'!B186)</f>
        <v>Fondos de cesantías - Aportes con recursos propios</v>
      </c>
      <c r="C51" s="304">
        <v>0</v>
      </c>
    </row>
    <row r="52" spans="1:3" ht="12.75">
      <c r="A52" s="278" t="str">
        <f>+IF('Datos a presupuestar'!A187=0,"",'Datos a presupuestar'!A187)</f>
        <v>1010302-4</v>
      </c>
      <c r="B52" s="251" t="str">
        <f>+IF('Datos a presupuestar'!B187=0,"",'Datos a presupuestar'!B187)</f>
        <v>Riesgos laborales - Aportes con recursos propios</v>
      </c>
      <c r="C52" s="304">
        <v>0</v>
      </c>
    </row>
    <row r="53" spans="1:3" ht="12.75">
      <c r="A53" s="278" t="str">
        <f>+IF('Datos a presupuestar'!A188=0,"",'Datos a presupuestar'!A188)</f>
        <v>1010302-5</v>
      </c>
      <c r="B53" s="251" t="str">
        <f>+IF('Datos a presupuestar'!B188=0,"",'Datos a presupuestar'!B188)</f>
        <v>Aporte a Caja Compensación Familiar</v>
      </c>
      <c r="C53" s="304">
        <v>0</v>
      </c>
    </row>
    <row r="54" spans="1:3" ht="14.25">
      <c r="A54" s="280">
        <f>+IF('Datos a presupuestar'!A189=0,"",'Datos a presupuestar'!A189)</f>
        <v>1010399</v>
      </c>
      <c r="B54" s="250" t="str">
        <f>+IF('Datos a presupuestar'!B189=0,"",'Datos a presupuestar'!B189)</f>
        <v>Vigencias Anteriores</v>
      </c>
      <c r="C54" s="303">
        <v>0</v>
      </c>
    </row>
    <row r="55" spans="1:3" ht="12.75">
      <c r="A55" s="268">
        <f>+IF('Datos a presupuestar'!A190=0,"",'Datos a presupuestar'!A190)</f>
      </c>
      <c r="B55" s="223">
        <f>+IF('Datos a presupuestar'!B190=0,"",'Datos a presupuestar'!B190)</f>
      </c>
      <c r="C55" s="269"/>
    </row>
    <row r="56" spans="1:3" ht="15">
      <c r="A56" s="274">
        <f>+IF('Datos a presupuestar'!A191=0,"",'Datos a presupuestar'!A191)</f>
        <v>1010400</v>
      </c>
      <c r="B56" s="249" t="str">
        <f>+IF('Datos a presupuestar'!B191=0,"",'Datos a presupuestar'!B191)</f>
        <v>Contribuciones Inherentes nómina del Sector Público</v>
      </c>
      <c r="C56" s="299">
        <f>C57+C60</f>
        <v>0</v>
      </c>
    </row>
    <row r="57" spans="1:3" ht="14.25">
      <c r="A57" s="275">
        <f>+IF('Datos a presupuestar'!A192=0,"",'Datos a presupuestar'!A192)</f>
        <v>1010402</v>
      </c>
      <c r="B57" s="242" t="str">
        <f>+IF('Datos a presupuestar'!B192=0,"",'Datos a presupuestar'!B192)</f>
        <v>Contribuciones - Otros</v>
      </c>
      <c r="C57" s="276">
        <f>SUM(C58:C59)</f>
        <v>0</v>
      </c>
    </row>
    <row r="58" spans="1:3" ht="12.75">
      <c r="A58" s="278" t="str">
        <f>+IF('Datos a presupuestar'!A193=0,"",'Datos a presupuestar'!A193)</f>
        <v>1010402-1</v>
      </c>
      <c r="B58" s="251" t="str">
        <f>+IF('Datos a presupuestar'!B193=0,"",'Datos a presupuestar'!B193)</f>
        <v>S.E.N.A.</v>
      </c>
      <c r="C58" s="304">
        <v>0</v>
      </c>
    </row>
    <row r="59" spans="1:3" ht="12.75">
      <c r="A59" s="278" t="str">
        <f>+IF('Datos a presupuestar'!A194=0,"",'Datos a presupuestar'!A194)</f>
        <v>1010402-2</v>
      </c>
      <c r="B59" s="251" t="str">
        <f>+IF('Datos a presupuestar'!B194=0,"",'Datos a presupuestar'!B194)</f>
        <v>I.C.B.F.</v>
      </c>
      <c r="C59" s="304">
        <v>0</v>
      </c>
    </row>
    <row r="60" spans="1:3" ht="14.25">
      <c r="A60" s="280">
        <f>+IF('Datos a presupuestar'!A195=0,"",'Datos a presupuestar'!A195)</f>
        <v>1010499</v>
      </c>
      <c r="B60" s="250" t="str">
        <f>+IF('Datos a presupuestar'!B195=0,"",'Datos a presupuestar'!B195)</f>
        <v>Vigencias Anteriores</v>
      </c>
      <c r="C60" s="303">
        <v>0</v>
      </c>
    </row>
    <row r="61" spans="1:3" ht="12.75">
      <c r="A61" s="268">
        <f>+IF('Datos a presupuestar'!A196=0,"",'Datos a presupuestar'!A196)</f>
      </c>
      <c r="B61" s="223">
        <f>+IF('Datos a presupuestar'!B196=0,"",'Datos a presupuestar'!B196)</f>
      </c>
      <c r="C61" s="269"/>
    </row>
    <row r="62" spans="1:3" ht="15.75">
      <c r="A62" s="272">
        <f>+IF('Datos a presupuestar'!A197=0,"",'Datos a presupuestar'!A197)</f>
        <v>1020010</v>
      </c>
      <c r="B62" s="218" t="str">
        <f>+IF('Datos a presupuestar'!B197=0,"",'Datos a presupuestar'!B197)</f>
        <v>Gastos de Operación</v>
      </c>
      <c r="C62" s="273">
        <f>C64+C81+C87+C101</f>
        <v>0</v>
      </c>
    </row>
    <row r="63" spans="1:3" ht="12.75">
      <c r="A63" s="268">
        <f>+IF('Datos a presupuestar'!A198=0,"",'Datos a presupuestar'!A198)</f>
      </c>
      <c r="B63" s="223">
        <f>+IF('Datos a presupuestar'!B198=0,"",'Datos a presupuestar'!B198)</f>
      </c>
      <c r="C63" s="269"/>
    </row>
    <row r="64" spans="1:3" ht="15">
      <c r="A64" s="274">
        <f>+IF('Datos a presupuestar'!A199=0,"",'Datos a presupuestar'!A199)</f>
        <v>1020100</v>
      </c>
      <c r="B64" s="249" t="str">
        <f>+IF('Datos a presupuestar'!B199=0,"",'Datos a presupuestar'!B199)</f>
        <v>Servicios Personales Asociados a Nómina</v>
      </c>
      <c r="C64" s="299">
        <f>SUM(C65:C68)+C79</f>
        <v>0</v>
      </c>
    </row>
    <row r="65" spans="1:3" ht="14.25">
      <c r="A65" s="275">
        <f>+IF('Datos a presupuestar'!A200=0,"",'Datos a presupuestar'!A200)</f>
        <v>1020101</v>
      </c>
      <c r="B65" s="242" t="str">
        <f>+IF('Datos a presupuestar'!B200=0,"",'Datos a presupuestar'!B200)</f>
        <v>Sueldos del Personal de nómina</v>
      </c>
      <c r="C65" s="303">
        <v>0</v>
      </c>
    </row>
    <row r="66" spans="1:3" ht="14.25">
      <c r="A66" s="275">
        <f>+IF('Datos a presupuestar'!A201=0,"",'Datos a presupuestar'!A201)</f>
        <v>1020102</v>
      </c>
      <c r="B66" s="242" t="str">
        <f>+IF('Datos a presupuestar'!B201=0,"",'Datos a presupuestar'!B201)</f>
        <v>Horas Extras,Dominic.,Festivos y Rec. Nocturnos</v>
      </c>
      <c r="C66" s="303">
        <v>0</v>
      </c>
    </row>
    <row r="67" spans="1:3" ht="14.25">
      <c r="A67" s="275">
        <f>+IF('Datos a presupuestar'!A202=0,"",'Datos a presupuestar'!A202)</f>
        <v>1020103</v>
      </c>
      <c r="B67" s="242" t="str">
        <f>+IF('Datos a presupuestar'!B202=0,"",'Datos a presupuestar'!B202)</f>
        <v>Prima Técnica</v>
      </c>
      <c r="C67" s="303">
        <v>0</v>
      </c>
    </row>
    <row r="68" spans="1:3" ht="14.25">
      <c r="A68" s="275">
        <f>+IF('Datos a presupuestar'!A203=0,"",'Datos a presupuestar'!A203)</f>
        <v>1020104</v>
      </c>
      <c r="B68" s="242" t="str">
        <f>+IF('Datos a presupuestar'!B203=0,"",'Datos a presupuestar'!B203)</f>
        <v>Otros</v>
      </c>
      <c r="C68" s="277">
        <f>SUM(C69:C78)</f>
        <v>0</v>
      </c>
    </row>
    <row r="69" spans="1:3" ht="12.75">
      <c r="A69" s="278" t="str">
        <f>+IF('Datos a presupuestar'!A204=0,"",'Datos a presupuestar'!A204)</f>
        <v>1020104-1</v>
      </c>
      <c r="B69" s="251" t="str">
        <f>+IF('Datos a presupuestar'!B204=0,"",'Datos a presupuestar'!B204)</f>
        <v>Prima de Navidad </v>
      </c>
      <c r="C69" s="304">
        <v>0</v>
      </c>
    </row>
    <row r="70" spans="1:3" ht="12.75">
      <c r="A70" s="278" t="str">
        <f>+IF('Datos a presupuestar'!A205=0,"",'Datos a presupuestar'!A205)</f>
        <v>1020104-2</v>
      </c>
      <c r="B70" s="251" t="str">
        <f>+IF('Datos a presupuestar'!B205=0,"",'Datos a presupuestar'!B205)</f>
        <v>Prima de Vacaciones</v>
      </c>
      <c r="C70" s="304">
        <v>0</v>
      </c>
    </row>
    <row r="71" spans="1:3" ht="12.75">
      <c r="A71" s="278" t="str">
        <f>+IF('Datos a presupuestar'!A206=0,"",'Datos a presupuestar'!A206)</f>
        <v>1020104-3</v>
      </c>
      <c r="B71" s="251" t="str">
        <f>+IF('Datos a presupuestar'!B206=0,"",'Datos a presupuestar'!B206)</f>
        <v>Bonificación  por servicios prestados</v>
      </c>
      <c r="C71" s="304">
        <v>0</v>
      </c>
    </row>
    <row r="72" spans="1:3" ht="12.75">
      <c r="A72" s="278" t="str">
        <f>+IF('Datos a presupuestar'!A207=0,"",'Datos a presupuestar'!A207)</f>
        <v>1020104-4</v>
      </c>
      <c r="B72" s="251" t="str">
        <f>+IF('Datos a presupuestar'!B207=0,"",'Datos a presupuestar'!B207)</f>
        <v>Prima de Servicios</v>
      </c>
      <c r="C72" s="304">
        <v>0</v>
      </c>
    </row>
    <row r="73" spans="1:3" ht="12.75">
      <c r="A73" s="278" t="str">
        <f>+IF('Datos a presupuestar'!A208=0,"",'Datos a presupuestar'!A208)</f>
        <v>1020104-5</v>
      </c>
      <c r="B73" s="251" t="str">
        <f>+IF('Datos a presupuestar'!B208=0,"",'Datos a presupuestar'!B208)</f>
        <v>Bonificación Convencional</v>
      </c>
      <c r="C73" s="304">
        <v>0</v>
      </c>
    </row>
    <row r="74" spans="1:3" ht="12.75">
      <c r="A74" s="278" t="str">
        <f>+IF('Datos a presupuestar'!A209=0,"",'Datos a presupuestar'!A209)</f>
        <v>1020104-6</v>
      </c>
      <c r="B74" s="251" t="str">
        <f>+IF('Datos a presupuestar'!B209=0,"",'Datos a presupuestar'!B209)</f>
        <v>Auxilio de Transporte</v>
      </c>
      <c r="C74" s="304">
        <v>0</v>
      </c>
    </row>
    <row r="75" spans="1:3" ht="12.75">
      <c r="A75" s="278" t="str">
        <f>+IF('Datos a presupuestar'!A210=0,"",'Datos a presupuestar'!A210)</f>
        <v>1020104-7</v>
      </c>
      <c r="B75" s="251" t="str">
        <f>+IF('Datos a presupuestar'!B210=0,"",'Datos a presupuestar'!B210)</f>
        <v>Auxilio de Alimentación</v>
      </c>
      <c r="C75" s="304">
        <v>0</v>
      </c>
    </row>
    <row r="76" spans="1:3" ht="12.75">
      <c r="A76" s="278" t="str">
        <f>+IF('Datos a presupuestar'!A211=0,"",'Datos a presupuestar'!A211)</f>
        <v>1020104-8</v>
      </c>
      <c r="B76" s="251" t="str">
        <f>+IF('Datos a presupuestar'!B211=0,"",'Datos a presupuestar'!B211)</f>
        <v>Indemnizaciones por Vacaciones o Supresión de Cargos por Reestructuración</v>
      </c>
      <c r="C76" s="304">
        <v>0</v>
      </c>
    </row>
    <row r="77" spans="1:3" ht="12.75">
      <c r="A77" s="278" t="str">
        <f>+IF('Datos a presupuestar'!A212=0,"",'Datos a presupuestar'!A212)</f>
        <v>1020104-9</v>
      </c>
      <c r="B77" s="251" t="str">
        <f>+IF('Datos a presupuestar'!B212=0,"",'Datos a presupuestar'!B212)</f>
        <v>Bonificación Especial por Recreación</v>
      </c>
      <c r="C77" s="304">
        <v>0</v>
      </c>
    </row>
    <row r="78" spans="1:3" ht="12.75">
      <c r="A78" s="278" t="str">
        <f>+IF('Datos a presupuestar'!A213=0,"",'Datos a presupuestar'!A213)</f>
        <v>1020104-10</v>
      </c>
      <c r="B78" s="251">
        <f>+IF('Datos a presupuestar'!B213=0,"",'Datos a presupuestar'!B213)</f>
      </c>
      <c r="C78" s="304">
        <v>0</v>
      </c>
    </row>
    <row r="79" spans="1:3" ht="14.25">
      <c r="A79" s="280">
        <f>+IF('Datos a presupuestar'!A214=0,"",'Datos a presupuestar'!A214)</f>
        <v>1020199</v>
      </c>
      <c r="B79" s="250" t="str">
        <f>+IF('Datos a presupuestar'!B214=0,"",'Datos a presupuestar'!B214)</f>
        <v>Vigencias Anteriores</v>
      </c>
      <c r="C79" s="303">
        <v>0</v>
      </c>
    </row>
    <row r="80" spans="1:3" ht="12.75">
      <c r="A80" s="268">
        <f>+IF('Datos a presupuestar'!A215=0,"",'Datos a presupuestar'!A215)</f>
      </c>
      <c r="B80" s="223">
        <f>+IF('Datos a presupuestar'!B215=0,"",'Datos a presupuestar'!B215)</f>
      </c>
      <c r="C80" s="269"/>
    </row>
    <row r="81" spans="1:3" ht="15">
      <c r="A81" s="274">
        <f>+IF('Datos a presupuestar'!A216=0,"",'Datos a presupuestar'!A216)</f>
        <v>1020200</v>
      </c>
      <c r="B81" s="249" t="str">
        <f>+IF('Datos a presupuestar'!B216=0,"",'Datos a presupuestar'!B216)</f>
        <v>Servicios Personales Indirectos</v>
      </c>
      <c r="C81" s="299">
        <f>SUM(C82:C85)</f>
        <v>0</v>
      </c>
    </row>
    <row r="82" spans="1:3" ht="14.25">
      <c r="A82" s="275" t="str">
        <f>+IF('Datos a presupuestar'!A217=0,"",'Datos a presupuestar'!A217)</f>
        <v>1020200-1</v>
      </c>
      <c r="B82" s="242" t="str">
        <f>+IF('Datos a presupuestar'!B217=0,"",'Datos a presupuestar'!B217)</f>
        <v>Remuneración por Servicios Técnicos</v>
      </c>
      <c r="C82" s="303">
        <v>0</v>
      </c>
    </row>
    <row r="83" spans="1:3" ht="14.25">
      <c r="A83" s="275" t="str">
        <f>+IF('Datos a presupuestar'!A218=0,"",'Datos a presupuestar'!A218)</f>
        <v>1020200-2</v>
      </c>
      <c r="B83" s="242" t="str">
        <f>+IF('Datos a presupuestar'!B218=0,"",'Datos a presupuestar'!B218)</f>
        <v>Personal Supernumerario</v>
      </c>
      <c r="C83" s="303">
        <v>0</v>
      </c>
    </row>
    <row r="84" spans="1:3" ht="14.25">
      <c r="A84" s="275" t="str">
        <f>+IF('Datos a presupuestar'!A219=0,"",'Datos a presupuestar'!A219)</f>
        <v>1020200-3</v>
      </c>
      <c r="B84" s="242" t="str">
        <f>+IF('Datos a presupuestar'!B219=0,"",'Datos a presupuestar'!B219)</f>
        <v>Otros Honorarios</v>
      </c>
      <c r="C84" s="303">
        <v>0</v>
      </c>
    </row>
    <row r="85" spans="1:3" ht="14.25">
      <c r="A85" s="280">
        <f>+IF('Datos a presupuestar'!A220=0,"",'Datos a presupuestar'!A220)</f>
        <v>1020299</v>
      </c>
      <c r="B85" s="250" t="str">
        <f>+IF('Datos a presupuestar'!B220=0,"",'Datos a presupuestar'!B220)</f>
        <v>Vigencias Anteriores</v>
      </c>
      <c r="C85" s="303">
        <v>0</v>
      </c>
    </row>
    <row r="86" spans="1:3" ht="12.75">
      <c r="A86" s="268">
        <f>+IF('Datos a presupuestar'!A221=0,"",'Datos a presupuestar'!A221)</f>
      </c>
      <c r="B86" s="223">
        <f>+IF('Datos a presupuestar'!B221=0,"",'Datos a presupuestar'!B221)</f>
      </c>
      <c r="C86" s="269"/>
    </row>
    <row r="87" spans="1:3" ht="15">
      <c r="A87" s="274">
        <f>+IF('Datos a presupuestar'!A222=0,"",'Datos a presupuestar'!A222)</f>
        <v>1020300</v>
      </c>
      <c r="B87" s="249" t="str">
        <f>+IF('Datos a presupuestar'!B222=0,"",'Datos a presupuestar'!B222)</f>
        <v>Contribuciones Inherentes nómina al Sector Privado</v>
      </c>
      <c r="C87" s="299">
        <f>C88+C93+C99</f>
        <v>0</v>
      </c>
    </row>
    <row r="88" spans="1:3" ht="14.25">
      <c r="A88" s="275">
        <f>+IF('Datos a presupuestar'!A223=0,"",'Datos a presupuestar'!A223)</f>
        <v>1020301</v>
      </c>
      <c r="B88" s="242" t="str">
        <f>+IF('Datos a presupuestar'!B223=0,"",'Datos a presupuestar'!B223)</f>
        <v>Contribuciones - SGP - Aportes Patronales - Cuentas Maestras</v>
      </c>
      <c r="C88" s="276">
        <f>SUM(C89:C92)</f>
        <v>0</v>
      </c>
    </row>
    <row r="89" spans="1:3" ht="12.75">
      <c r="A89" s="278" t="str">
        <f>+IF('Datos a presupuestar'!A224=0,"",'Datos a presupuestar'!A224)</f>
        <v>1020301-1</v>
      </c>
      <c r="B89" s="251" t="str">
        <f>+IF('Datos a presupuestar'!B224=0,"",'Datos a presupuestar'!B224)</f>
        <v>E.P.S. - Aportes cuentas maestras</v>
      </c>
      <c r="C89" s="304">
        <v>0</v>
      </c>
    </row>
    <row r="90" spans="1:3" ht="12.75">
      <c r="A90" s="278" t="str">
        <f>+IF('Datos a presupuestar'!A225=0,"",'Datos a presupuestar'!A225)</f>
        <v>1020301-2</v>
      </c>
      <c r="B90" s="251" t="str">
        <f>+IF('Datos a presupuestar'!B225=0,"",'Datos a presupuestar'!B225)</f>
        <v>Fondos pensionales - Aportes cuentas maestras</v>
      </c>
      <c r="C90" s="304">
        <v>0</v>
      </c>
    </row>
    <row r="91" spans="1:3" ht="12.75">
      <c r="A91" s="278" t="str">
        <f>+IF('Datos a presupuestar'!A226=0,"",'Datos a presupuestar'!A226)</f>
        <v>1020301-3</v>
      </c>
      <c r="B91" s="251" t="str">
        <f>+IF('Datos a presupuestar'!B226=0,"",'Datos a presupuestar'!B226)</f>
        <v>Fondos de cesantías - Aportes cuentas maestras</v>
      </c>
      <c r="C91" s="304">
        <v>0</v>
      </c>
    </row>
    <row r="92" spans="1:3" ht="12.75">
      <c r="A92" s="278" t="str">
        <f>+IF('Datos a presupuestar'!A227=0,"",'Datos a presupuestar'!A227)</f>
        <v>1020301-4</v>
      </c>
      <c r="B92" s="251" t="str">
        <f>+IF('Datos a presupuestar'!B227=0,"",'Datos a presupuestar'!B227)</f>
        <v>Riesgos laborales - Aportes cuentas maestras</v>
      </c>
      <c r="C92" s="304">
        <v>0</v>
      </c>
    </row>
    <row r="93" spans="1:3" ht="14.25">
      <c r="A93" s="275">
        <f>+IF('Datos a presupuestar'!A228=0,"",'Datos a presupuestar'!A228)</f>
        <v>1020302</v>
      </c>
      <c r="B93" s="242" t="str">
        <f>+IF('Datos a presupuestar'!B228=0,"",'Datos a presupuestar'!B228)</f>
        <v>Contribuciones - Otros</v>
      </c>
      <c r="C93" s="276">
        <f>SUM(C94:C98)</f>
        <v>0</v>
      </c>
    </row>
    <row r="94" spans="1:3" ht="12.75">
      <c r="A94" s="278" t="str">
        <f>+IF('Datos a presupuestar'!A229=0,"",'Datos a presupuestar'!A229)</f>
        <v>1020302-1</v>
      </c>
      <c r="B94" s="251" t="str">
        <f>+IF('Datos a presupuestar'!B229=0,"",'Datos a presupuestar'!B229)</f>
        <v>E.P.S. - Aportes con recursos propios</v>
      </c>
      <c r="C94" s="304">
        <v>0</v>
      </c>
    </row>
    <row r="95" spans="1:3" ht="12.75">
      <c r="A95" s="278" t="str">
        <f>+IF('Datos a presupuestar'!A230=0,"",'Datos a presupuestar'!A230)</f>
        <v>1020302-2</v>
      </c>
      <c r="B95" s="251" t="str">
        <f>+IF('Datos a presupuestar'!B230=0,"",'Datos a presupuestar'!B230)</f>
        <v>Fondos pensionales - Aportes con recursos propios</v>
      </c>
      <c r="C95" s="304">
        <v>0</v>
      </c>
    </row>
    <row r="96" spans="1:3" ht="12.75">
      <c r="A96" s="278" t="str">
        <f>+IF('Datos a presupuestar'!A231=0,"",'Datos a presupuestar'!A231)</f>
        <v>1020302-3</v>
      </c>
      <c r="B96" s="251" t="str">
        <f>+IF('Datos a presupuestar'!B231=0,"",'Datos a presupuestar'!B231)</f>
        <v>Fondos de cesantías - Aportes con recursos propios</v>
      </c>
      <c r="C96" s="304">
        <v>0</v>
      </c>
    </row>
    <row r="97" spans="1:3" ht="12.75">
      <c r="A97" s="278" t="str">
        <f>+IF('Datos a presupuestar'!A232=0,"",'Datos a presupuestar'!A232)</f>
        <v>1020302-4</v>
      </c>
      <c r="B97" s="251" t="str">
        <f>+IF('Datos a presupuestar'!B232=0,"",'Datos a presupuestar'!B232)</f>
        <v>Riesgos laborales - Aportes con recursos propios</v>
      </c>
      <c r="C97" s="304">
        <v>0</v>
      </c>
    </row>
    <row r="98" spans="1:3" ht="12.75">
      <c r="A98" s="278" t="str">
        <f>+IF('Datos a presupuestar'!A233=0,"",'Datos a presupuestar'!A233)</f>
        <v>1020302-5</v>
      </c>
      <c r="B98" s="251" t="str">
        <f>+IF('Datos a presupuestar'!B233=0,"",'Datos a presupuestar'!B233)</f>
        <v>Aporte a Caja Compensación Familiar</v>
      </c>
      <c r="C98" s="304">
        <v>0</v>
      </c>
    </row>
    <row r="99" spans="1:3" ht="14.25">
      <c r="A99" s="280">
        <f>+IF('Datos a presupuestar'!A234=0,"",'Datos a presupuestar'!A234)</f>
        <v>1020399</v>
      </c>
      <c r="B99" s="250" t="str">
        <f>+IF('Datos a presupuestar'!B234=0,"",'Datos a presupuestar'!B234)</f>
        <v>Vigencias Anteriores</v>
      </c>
      <c r="C99" s="303">
        <v>0</v>
      </c>
    </row>
    <row r="100" spans="1:3" ht="12.75">
      <c r="A100" s="268">
        <f>+IF('Datos a presupuestar'!A235=0,"",'Datos a presupuestar'!A235)</f>
      </c>
      <c r="B100" s="223">
        <f>+IF('Datos a presupuestar'!B235=0,"",'Datos a presupuestar'!B235)</f>
      </c>
      <c r="C100" s="269"/>
    </row>
    <row r="101" spans="1:3" ht="15">
      <c r="A101" s="274">
        <f>+IF('Datos a presupuestar'!A236=0,"",'Datos a presupuestar'!A236)</f>
        <v>1020400</v>
      </c>
      <c r="B101" s="249" t="str">
        <f>+IF('Datos a presupuestar'!B236=0,"",'Datos a presupuestar'!B236)</f>
        <v>Contribuciones Inherentes nómina del Sector Publico</v>
      </c>
      <c r="C101" s="299">
        <f>C102+C105</f>
        <v>0</v>
      </c>
    </row>
    <row r="102" spans="1:3" ht="14.25">
      <c r="A102" s="275">
        <f>+IF('Datos a presupuestar'!A237=0,"",'Datos a presupuestar'!A237)</f>
        <v>1020402</v>
      </c>
      <c r="B102" s="242" t="str">
        <f>+IF('Datos a presupuestar'!B237=0,"",'Datos a presupuestar'!B237)</f>
        <v>Contribuciones - Otros</v>
      </c>
      <c r="C102" s="276">
        <f>SUM(C103:C104)</f>
        <v>0</v>
      </c>
    </row>
    <row r="103" spans="1:3" ht="12.75">
      <c r="A103" s="278" t="str">
        <f>+IF('Datos a presupuestar'!A238=0,"",'Datos a presupuestar'!A238)</f>
        <v>1020402-1</v>
      </c>
      <c r="B103" s="251" t="str">
        <f>+IF('Datos a presupuestar'!B238=0,"",'Datos a presupuestar'!B238)</f>
        <v>S.E.N.A.</v>
      </c>
      <c r="C103" s="304">
        <v>0</v>
      </c>
    </row>
    <row r="104" spans="1:3" ht="12.75">
      <c r="A104" s="278" t="str">
        <f>+IF('Datos a presupuestar'!A239=0,"",'Datos a presupuestar'!A239)</f>
        <v>1020402-2</v>
      </c>
      <c r="B104" s="251" t="str">
        <f>+IF('Datos a presupuestar'!B239=0,"",'Datos a presupuestar'!B239)</f>
        <v>I.C.B.F.</v>
      </c>
      <c r="C104" s="304">
        <v>0</v>
      </c>
    </row>
    <row r="105" spans="1:3" ht="14.25">
      <c r="A105" s="280">
        <f>+IF('Datos a presupuestar'!A240=0,"",'Datos a presupuestar'!A240)</f>
        <v>1020499</v>
      </c>
      <c r="B105" s="250" t="str">
        <f>+IF('Datos a presupuestar'!B240=0,"",'Datos a presupuestar'!B240)</f>
        <v>Vigencias Anteriores</v>
      </c>
      <c r="C105" s="303">
        <v>0</v>
      </c>
    </row>
    <row r="106" spans="1:3" ht="12.75">
      <c r="A106" s="268">
        <f>+IF('Datos a presupuestar'!A241=0,"",'Datos a presupuestar'!A241)</f>
      </c>
      <c r="B106" s="223">
        <f>+IF('Datos a presupuestar'!B241=0,"",'Datos a presupuestar'!B241)</f>
      </c>
      <c r="C106" s="269"/>
    </row>
    <row r="107" spans="1:3" ht="16.5">
      <c r="A107" s="270">
        <f>+IF('Datos a presupuestar'!A242=0,"",'Datos a presupuestar'!A242)</f>
        <v>2000000</v>
      </c>
      <c r="B107" s="245" t="str">
        <f>+IF('Datos a presupuestar'!B242=0,"",'Datos a presupuestar'!B242)</f>
        <v>GASTOS GENERALES</v>
      </c>
      <c r="C107" s="271">
        <f>C109+C142</f>
        <v>0</v>
      </c>
    </row>
    <row r="108" spans="1:3" ht="12.75">
      <c r="A108" s="268">
        <f>+IF('Datos a presupuestar'!A243=0,"",'Datos a presupuestar'!A243)</f>
      </c>
      <c r="B108" s="223">
        <f>+IF('Datos a presupuestar'!B243=0,"",'Datos a presupuestar'!B243)</f>
      </c>
      <c r="C108" s="269"/>
    </row>
    <row r="109" spans="1:3" ht="15.75">
      <c r="A109" s="272">
        <f>+IF('Datos a presupuestar'!A244=0,"",'Datos a presupuestar'!A244)</f>
        <v>2010000</v>
      </c>
      <c r="B109" s="218" t="str">
        <f>+IF('Datos a presupuestar'!B244=0,"",'Datos a presupuestar'!B244)</f>
        <v>Gastos de Administración</v>
      </c>
      <c r="C109" s="273">
        <f>C111+C120+C138</f>
        <v>0</v>
      </c>
    </row>
    <row r="110" spans="1:3" ht="12.75">
      <c r="A110" s="268">
        <f>+IF('Datos a presupuestar'!A245=0,"",'Datos a presupuestar'!A245)</f>
      </c>
      <c r="B110" s="223">
        <f>+IF('Datos a presupuestar'!B245=0,"",'Datos a presupuestar'!B245)</f>
      </c>
      <c r="C110" s="269"/>
    </row>
    <row r="111" spans="1:3" ht="15">
      <c r="A111" s="274">
        <f>+IF('Datos a presupuestar'!A246=0,"",'Datos a presupuestar'!A246)</f>
        <v>2010100</v>
      </c>
      <c r="B111" s="249" t="str">
        <f>+IF('Datos a presupuestar'!B246=0,"",'Datos a presupuestar'!B246)</f>
        <v>Adquisición de bienes</v>
      </c>
      <c r="C111" s="299">
        <f>SUM(C112:C118)</f>
        <v>0</v>
      </c>
    </row>
    <row r="112" spans="1:3" ht="14.25">
      <c r="A112" s="275" t="str">
        <f>+IF('Datos a presupuestar'!A247=0,"",'Datos a presupuestar'!A247)</f>
        <v>2010100-1</v>
      </c>
      <c r="B112" s="242" t="str">
        <f>+IF('Datos a presupuestar'!B247=0,"",'Datos a presupuestar'!B247)</f>
        <v>Compra de Equipos</v>
      </c>
      <c r="C112" s="303">
        <v>0</v>
      </c>
    </row>
    <row r="113" spans="1:3" ht="14.25">
      <c r="A113" s="275" t="str">
        <f>+IF('Datos a presupuestar'!A248=0,"",'Datos a presupuestar'!A248)</f>
        <v>2010100-2</v>
      </c>
      <c r="B113" s="242" t="str">
        <f>+IF('Datos a presupuestar'!B248=0,"",'Datos a presupuestar'!B248)</f>
        <v>Materiales</v>
      </c>
      <c r="C113" s="303">
        <v>0</v>
      </c>
    </row>
    <row r="114" spans="1:3" ht="14.25">
      <c r="A114" s="275" t="str">
        <f>+IF('Datos a presupuestar'!A249=0,"",'Datos a presupuestar'!A249)</f>
        <v>2010100-3</v>
      </c>
      <c r="B114" s="242" t="str">
        <f>+IF('Datos a presupuestar'!B249=0,"",'Datos a presupuestar'!B249)</f>
        <v>Salud Ocupacional</v>
      </c>
      <c r="C114" s="303">
        <v>0</v>
      </c>
    </row>
    <row r="115" spans="1:3" ht="14.25">
      <c r="A115" s="275" t="str">
        <f>+IF('Datos a presupuestar'!A250=0,"",'Datos a presupuestar'!A250)</f>
        <v>2010100-4</v>
      </c>
      <c r="B115" s="242">
        <f>+IF('Datos a presupuestar'!B250=0,"",'Datos a presupuestar'!B250)</f>
      </c>
      <c r="C115" s="303">
        <v>0</v>
      </c>
    </row>
    <row r="116" spans="1:3" ht="14.25">
      <c r="A116" s="275" t="str">
        <f>+IF('Datos a presupuestar'!A251=0,"",'Datos a presupuestar'!A251)</f>
        <v>2010100-5</v>
      </c>
      <c r="B116" s="242">
        <f>+IF('Datos a presupuestar'!B251=0,"",'Datos a presupuestar'!B251)</f>
      </c>
      <c r="C116" s="303">
        <v>0</v>
      </c>
    </row>
    <row r="117" spans="1:3" ht="14.25">
      <c r="A117" s="275" t="str">
        <f>+IF('Datos a presupuestar'!A252=0,"",'Datos a presupuestar'!A252)</f>
        <v>2010100-6</v>
      </c>
      <c r="B117" s="242">
        <f>+IF('Datos a presupuestar'!B252=0,"",'Datos a presupuestar'!B252)</f>
      </c>
      <c r="C117" s="303">
        <v>0</v>
      </c>
    </row>
    <row r="118" spans="1:3" ht="14.25">
      <c r="A118" s="280">
        <f>+IF('Datos a presupuestar'!A253=0,"",'Datos a presupuestar'!A253)</f>
        <v>2010199</v>
      </c>
      <c r="B118" s="250" t="str">
        <f>+IF('Datos a presupuestar'!B253=0,"",'Datos a presupuestar'!B253)</f>
        <v>Vigencias Anteriores</v>
      </c>
      <c r="C118" s="303">
        <v>0</v>
      </c>
    </row>
    <row r="119" spans="1:3" ht="12.75">
      <c r="A119" s="268">
        <f>+IF('Datos a presupuestar'!A254=0,"",'Datos a presupuestar'!A254)</f>
      </c>
      <c r="B119" s="223">
        <f>+IF('Datos a presupuestar'!B254=0,"",'Datos a presupuestar'!B254)</f>
      </c>
      <c r="C119" s="269"/>
    </row>
    <row r="120" spans="1:3" ht="15">
      <c r="A120" s="274">
        <f>+IF('Datos a presupuestar'!A255=0,"",'Datos a presupuestar'!A255)</f>
        <v>2010200</v>
      </c>
      <c r="B120" s="249" t="str">
        <f>+IF('Datos a presupuestar'!B255=0,"",'Datos a presupuestar'!B255)</f>
        <v>Adquisición de Servicios</v>
      </c>
      <c r="C120" s="299">
        <f>SUM(C121:C136)</f>
        <v>0</v>
      </c>
    </row>
    <row r="121" spans="1:3" ht="14.25">
      <c r="A121" s="275" t="str">
        <f>+IF('Datos a presupuestar'!A256=0,"",'Datos a presupuestar'!A256)</f>
        <v>2010200-1</v>
      </c>
      <c r="B121" s="242" t="str">
        <f>+IF('Datos a presupuestar'!B256=0,"",'Datos a presupuestar'!B256)</f>
        <v>Seguros</v>
      </c>
      <c r="C121" s="303">
        <v>0</v>
      </c>
    </row>
    <row r="122" spans="1:3" ht="14.25">
      <c r="A122" s="275" t="str">
        <f>+IF('Datos a presupuestar'!A257=0,"",'Datos a presupuestar'!A257)</f>
        <v>2010200-2</v>
      </c>
      <c r="B122" s="242" t="str">
        <f>+IF('Datos a presupuestar'!B257=0,"",'Datos a presupuestar'!B257)</f>
        <v>Impresos y Publicaciones</v>
      </c>
      <c r="C122" s="303">
        <v>0</v>
      </c>
    </row>
    <row r="123" spans="1:3" ht="14.25">
      <c r="A123" s="275" t="str">
        <f>+IF('Datos a presupuestar'!A258=0,"",'Datos a presupuestar'!A258)</f>
        <v>2010200-3</v>
      </c>
      <c r="B123" s="242" t="str">
        <f>+IF('Datos a presupuestar'!B258=0,"",'Datos a presupuestar'!B258)</f>
        <v>Servicios Públicos </v>
      </c>
      <c r="C123" s="303">
        <v>0</v>
      </c>
    </row>
    <row r="124" spans="1:3" ht="14.25">
      <c r="A124" s="275" t="str">
        <f>+IF('Datos a presupuestar'!A259=0,"",'Datos a presupuestar'!A259)</f>
        <v>2010200-4</v>
      </c>
      <c r="B124" s="242" t="str">
        <f>+IF('Datos a presupuestar'!B259=0,"",'Datos a presupuestar'!B259)</f>
        <v>Comunicaciones y Transportes</v>
      </c>
      <c r="C124" s="303">
        <v>0</v>
      </c>
    </row>
    <row r="125" spans="1:3" ht="14.25">
      <c r="A125" s="275" t="str">
        <f>+IF('Datos a presupuestar'!A260=0,"",'Datos a presupuestar'!A260)</f>
        <v>2010200-5</v>
      </c>
      <c r="B125" s="242" t="str">
        <f>+IF('Datos a presupuestar'!B260=0,"",'Datos a presupuestar'!B260)</f>
        <v>Viáticos y Gastos de Viaje</v>
      </c>
      <c r="C125" s="303">
        <v>0</v>
      </c>
    </row>
    <row r="126" spans="1:3" ht="14.25">
      <c r="A126" s="275" t="str">
        <f>+IF('Datos a presupuestar'!A261=0,"",'Datos a presupuestar'!A261)</f>
        <v>2010200-6</v>
      </c>
      <c r="B126" s="242" t="str">
        <f>+IF('Datos a presupuestar'!B261=0,"",'Datos a presupuestar'!B261)</f>
        <v>Arrendamientos</v>
      </c>
      <c r="C126" s="303">
        <v>0</v>
      </c>
    </row>
    <row r="127" spans="1:3" ht="14.25">
      <c r="A127" s="275" t="str">
        <f>+IF('Datos a presupuestar'!A262=0,"",'Datos a presupuestar'!A262)</f>
        <v>2010200-7</v>
      </c>
      <c r="B127" s="242" t="str">
        <f>+IF('Datos a presupuestar'!B262=0,"",'Datos a presupuestar'!B262)</f>
        <v>Vigilancia y Aseo</v>
      </c>
      <c r="C127" s="303">
        <v>0</v>
      </c>
    </row>
    <row r="128" spans="1:3" ht="14.25">
      <c r="A128" s="275" t="str">
        <f>+IF('Datos a presupuestar'!A263=0,"",'Datos a presupuestar'!A263)</f>
        <v>2010200-8</v>
      </c>
      <c r="B128" s="242" t="str">
        <f>+IF('Datos a presupuestar'!B263=0,"",'Datos a presupuestar'!B263)</f>
        <v>Bienestar Social</v>
      </c>
      <c r="C128" s="303">
        <v>0</v>
      </c>
    </row>
    <row r="129" spans="1:3" ht="14.25">
      <c r="A129" s="275" t="str">
        <f>+IF('Datos a presupuestar'!A264=0,"",'Datos a presupuestar'!A264)</f>
        <v>2010200-9</v>
      </c>
      <c r="B129" s="242" t="str">
        <f>+IF('Datos a presupuestar'!B264=0,"",'Datos a presupuestar'!B264)</f>
        <v>Capacitación, estimulos, incentivos, programa de calidad</v>
      </c>
      <c r="C129" s="303">
        <v>0</v>
      </c>
    </row>
    <row r="130" spans="1:3" ht="14.25">
      <c r="A130" s="275" t="str">
        <f>+IF('Datos a presupuestar'!A265=0,"",'Datos a presupuestar'!A265)</f>
        <v>2010200-10</v>
      </c>
      <c r="B130" s="242" t="str">
        <f>+IF('Datos a presupuestar'!B265=0,"",'Datos a presupuestar'!B265)</f>
        <v>Pagos otras IPS</v>
      </c>
      <c r="C130" s="303">
        <v>0</v>
      </c>
    </row>
    <row r="131" spans="1:3" ht="14.25">
      <c r="A131" s="275" t="str">
        <f>+IF('Datos a presupuestar'!A266=0,"",'Datos a presupuestar'!A266)</f>
        <v>2010200-11</v>
      </c>
      <c r="B131" s="242" t="str">
        <f>+IF('Datos a presupuestar'!B266=0,"",'Datos a presupuestar'!B266)</f>
        <v>Gastos financieros</v>
      </c>
      <c r="C131" s="303">
        <v>0</v>
      </c>
    </row>
    <row r="132" spans="1:3" ht="14.25">
      <c r="A132" s="275" t="str">
        <f>+IF('Datos a presupuestar'!A267=0,"",'Datos a presupuestar'!A267)</f>
        <v>2010200-12</v>
      </c>
      <c r="B132" s="242">
        <f>+IF('Datos a presupuestar'!B267=0,"",'Datos a presupuestar'!B267)</f>
      </c>
      <c r="C132" s="303">
        <v>0</v>
      </c>
    </row>
    <row r="133" spans="1:3" ht="14.25">
      <c r="A133" s="275" t="str">
        <f>+IF('Datos a presupuestar'!A268=0,"",'Datos a presupuestar'!A268)</f>
        <v>2010200-13</v>
      </c>
      <c r="B133" s="242">
        <f>+IF('Datos a presupuestar'!B268=0,"",'Datos a presupuestar'!B268)</f>
      </c>
      <c r="C133" s="303">
        <v>0</v>
      </c>
    </row>
    <row r="134" spans="1:3" ht="14.25">
      <c r="A134" s="275" t="str">
        <f>+IF('Datos a presupuestar'!A269=0,"",'Datos a presupuestar'!A269)</f>
        <v>2010200-14</v>
      </c>
      <c r="B134" s="242">
        <f>+IF('Datos a presupuestar'!B269=0,"",'Datos a presupuestar'!B269)</f>
      </c>
      <c r="C134" s="303">
        <v>0</v>
      </c>
    </row>
    <row r="135" spans="1:3" ht="14.25">
      <c r="A135" s="275" t="str">
        <f>+IF('Datos a presupuestar'!A270=0,"",'Datos a presupuestar'!A270)</f>
        <v>2010200-15</v>
      </c>
      <c r="B135" s="242">
        <f>+IF('Datos a presupuestar'!B270=0,"",'Datos a presupuestar'!B270)</f>
      </c>
      <c r="C135" s="303">
        <v>0</v>
      </c>
    </row>
    <row r="136" spans="1:3" ht="14.25">
      <c r="A136" s="280">
        <f>+IF('Datos a presupuestar'!A271=0,"",'Datos a presupuestar'!A271)</f>
        <v>2010299</v>
      </c>
      <c r="B136" s="250" t="str">
        <f>+IF('Datos a presupuestar'!B271=0,"",'Datos a presupuestar'!B271)</f>
        <v>Vigencias Anteriores</v>
      </c>
      <c r="C136" s="303">
        <v>0</v>
      </c>
    </row>
    <row r="137" spans="1:3" ht="12.75">
      <c r="A137" s="268">
        <f>+IF('Datos a presupuestar'!A272=0,"",'Datos a presupuestar'!A272)</f>
      </c>
      <c r="B137" s="223">
        <f>+IF('Datos a presupuestar'!B272=0,"",'Datos a presupuestar'!B272)</f>
      </c>
      <c r="C137" s="269"/>
    </row>
    <row r="138" spans="1:3" ht="15">
      <c r="A138" s="274">
        <f>+IF('Datos a presupuestar'!A273=0,"",'Datos a presupuestar'!A273)</f>
        <v>2010300</v>
      </c>
      <c r="B138" s="249" t="str">
        <f>+IF('Datos a presupuestar'!B273=0,"",'Datos a presupuestar'!B273)</f>
        <v>Impuestos y Multas</v>
      </c>
      <c r="C138" s="299">
        <f>+SUM(C139:C140)</f>
        <v>0</v>
      </c>
    </row>
    <row r="139" spans="1:3" ht="14.25">
      <c r="A139" s="275" t="str">
        <f>+IF('Datos a presupuestar'!A274=0,"",'Datos a presupuestar'!A274)</f>
        <v>2010300-1</v>
      </c>
      <c r="B139" s="242" t="str">
        <f>+IF('Datos a presupuestar'!B274=0,"",'Datos a presupuestar'!B274)</f>
        <v>Impuestos (Predial, Vehiculos, Otros)</v>
      </c>
      <c r="C139" s="303">
        <v>0</v>
      </c>
    </row>
    <row r="140" spans="1:3" ht="14.25">
      <c r="A140" s="280">
        <f>+IF('Datos a presupuestar'!A275=0,"",'Datos a presupuestar'!A275)</f>
        <v>2010399</v>
      </c>
      <c r="B140" s="250" t="str">
        <f>+IF('Datos a presupuestar'!B275=0,"",'Datos a presupuestar'!B275)</f>
        <v>Vigencias Anteriores</v>
      </c>
      <c r="C140" s="303">
        <v>0</v>
      </c>
    </row>
    <row r="141" spans="1:3" ht="12.75">
      <c r="A141" s="268">
        <f>+IF('Datos a presupuestar'!A276=0,"",'Datos a presupuestar'!A276)</f>
      </c>
      <c r="B141" s="223">
        <f>+IF('Datos a presupuestar'!B276=0,"",'Datos a presupuestar'!B276)</f>
      </c>
      <c r="C141" s="269"/>
    </row>
    <row r="142" spans="1:3" ht="15.75">
      <c r="A142" s="272">
        <f>+IF('Datos a presupuestar'!A277=0,"",'Datos a presupuestar'!A277)</f>
        <v>2020010</v>
      </c>
      <c r="B142" s="218" t="str">
        <f>+IF('Datos a presupuestar'!B277=0,"",'Datos a presupuestar'!B277)</f>
        <v>Gastos de Operación</v>
      </c>
      <c r="C142" s="273">
        <f>C144+C152</f>
        <v>0</v>
      </c>
    </row>
    <row r="143" spans="1:3" ht="12.75">
      <c r="A143" s="268">
        <f>+IF('Datos a presupuestar'!A278=0,"",'Datos a presupuestar'!A278)</f>
      </c>
      <c r="B143" s="223">
        <f>+IF('Datos a presupuestar'!B278=0,"",'Datos a presupuestar'!B278)</f>
      </c>
      <c r="C143" s="269"/>
    </row>
    <row r="144" spans="1:3" ht="15">
      <c r="A144" s="274">
        <f>+IF('Datos a presupuestar'!A279=0,"",'Datos a presupuestar'!A279)</f>
        <v>2020100</v>
      </c>
      <c r="B144" s="249" t="str">
        <f>+IF('Datos a presupuestar'!B279=0,"",'Datos a presupuestar'!B279)</f>
        <v>Adquisición de bienes</v>
      </c>
      <c r="C144" s="299">
        <f>SUM(C145:C146)+C150</f>
        <v>0</v>
      </c>
    </row>
    <row r="145" spans="1:3" ht="14.25">
      <c r="A145" s="275">
        <f>+IF('Datos a presupuestar'!A280=0,"",'Datos a presupuestar'!A280)</f>
        <v>2020101</v>
      </c>
      <c r="B145" s="242" t="str">
        <f>+IF('Datos a presupuestar'!B280=0,"",'Datos a presupuestar'!B280)</f>
        <v>Mantenimiento Hospitalario</v>
      </c>
      <c r="C145" s="303">
        <v>0</v>
      </c>
    </row>
    <row r="146" spans="1:3" ht="14.25">
      <c r="A146" s="275">
        <f>+IF('Datos a presupuestar'!A281=0,"",'Datos a presupuestar'!A281)</f>
        <v>2020102</v>
      </c>
      <c r="B146" s="242" t="str">
        <f>+IF('Datos a presupuestar'!B281=0,"",'Datos a presupuestar'!B281)</f>
        <v>Otros</v>
      </c>
      <c r="C146" s="305">
        <f>SUM(C147:C149)</f>
        <v>0</v>
      </c>
    </row>
    <row r="147" spans="1:3" ht="12.75">
      <c r="A147" s="278" t="str">
        <f>+IF('Datos a presupuestar'!A282=0,"",'Datos a presupuestar'!A282)</f>
        <v>2020102-1</v>
      </c>
      <c r="B147" s="251" t="str">
        <f>+IF('Datos a presupuestar'!B282=0,"",'Datos a presupuestar'!B282)</f>
        <v>   Compra de Equipo e Instr. Mco. y Laborat.</v>
      </c>
      <c r="C147" s="304">
        <v>0</v>
      </c>
    </row>
    <row r="148" spans="1:3" ht="12.75">
      <c r="A148" s="278" t="str">
        <f>+IF('Datos a presupuestar'!A283=0,"",'Datos a presupuestar'!A283)</f>
        <v>2020102-2</v>
      </c>
      <c r="B148" s="251" t="str">
        <f>+IF('Datos a presupuestar'!B283=0,"",'Datos a presupuestar'!B283)</f>
        <v>   Materiales</v>
      </c>
      <c r="C148" s="304">
        <v>0</v>
      </c>
    </row>
    <row r="149" spans="1:3" ht="12.75">
      <c r="A149" s="278" t="str">
        <f>+IF('Datos a presupuestar'!A284=0,"",'Datos a presupuestar'!A284)</f>
        <v>2020102-3</v>
      </c>
      <c r="B149" s="251">
        <f>+IF('Datos a presupuestar'!B284=0,"",'Datos a presupuestar'!B284)</f>
      </c>
      <c r="C149" s="304">
        <v>0</v>
      </c>
    </row>
    <row r="150" spans="1:3" ht="14.25">
      <c r="A150" s="280">
        <f>+IF('Datos a presupuestar'!A285=0,"",'Datos a presupuestar'!A285)</f>
        <v>2020199</v>
      </c>
      <c r="B150" s="250" t="str">
        <f>+IF('Datos a presupuestar'!B285=0,"",'Datos a presupuestar'!B285)</f>
        <v>Vigencias Anteriores</v>
      </c>
      <c r="C150" s="303">
        <v>0</v>
      </c>
    </row>
    <row r="151" spans="1:3" ht="12.75">
      <c r="A151" s="268">
        <f>+IF('Datos a presupuestar'!A286=0,"",'Datos a presupuestar'!A286)</f>
      </c>
      <c r="B151" s="223">
        <f>+IF('Datos a presupuestar'!B286=0,"",'Datos a presupuestar'!B286)</f>
      </c>
      <c r="C151" s="269"/>
    </row>
    <row r="152" spans="1:3" ht="15">
      <c r="A152" s="274">
        <f>+IF('Datos a presupuestar'!A287=0,"",'Datos a presupuestar'!A287)</f>
        <v>2020200</v>
      </c>
      <c r="B152" s="249" t="str">
        <f>+IF('Datos a presupuestar'!B287=0,"",'Datos a presupuestar'!B287)</f>
        <v>Adquisición de Servicios</v>
      </c>
      <c r="C152" s="299">
        <f>SUM(C153:C154)+C166</f>
        <v>0</v>
      </c>
    </row>
    <row r="153" spans="1:3" ht="14.25">
      <c r="A153" s="275">
        <f>+IF('Datos a presupuestar'!A288=0,"",'Datos a presupuestar'!A288)</f>
        <v>2020201</v>
      </c>
      <c r="B153" s="242" t="str">
        <f>+IF('Datos a presupuestar'!B288=0,"",'Datos a presupuestar'!B288)</f>
        <v>Mantenimiento Hospitalario</v>
      </c>
      <c r="C153" s="303">
        <v>0</v>
      </c>
    </row>
    <row r="154" spans="1:3" ht="14.25">
      <c r="A154" s="275">
        <f>+IF('Datos a presupuestar'!A289=0,"",'Datos a presupuestar'!A289)</f>
        <v>2020202</v>
      </c>
      <c r="B154" s="242" t="str">
        <f>+IF('Datos a presupuestar'!B289=0,"",'Datos a presupuestar'!B289)</f>
        <v>Otros</v>
      </c>
      <c r="C154" s="305">
        <f>SUM(C155:C165)</f>
        <v>0</v>
      </c>
    </row>
    <row r="155" spans="1:3" ht="12.75">
      <c r="A155" s="278" t="str">
        <f>+IF('Datos a presupuestar'!A290=0,"",'Datos a presupuestar'!A290)</f>
        <v>2020202-1</v>
      </c>
      <c r="B155" s="251" t="str">
        <f>+IF('Datos a presupuestar'!B290=0,"",'Datos a presupuestar'!B290)</f>
        <v>Seguros</v>
      </c>
      <c r="C155" s="304">
        <v>0</v>
      </c>
    </row>
    <row r="156" spans="1:3" ht="12.75">
      <c r="A156" s="278" t="str">
        <f>+IF('Datos a presupuestar'!A291=0,"",'Datos a presupuestar'!A291)</f>
        <v>2020202-2</v>
      </c>
      <c r="B156" s="251" t="str">
        <f>+IF('Datos a presupuestar'!B291=0,"",'Datos a presupuestar'!B291)</f>
        <v>Impresos y Publicaciones</v>
      </c>
      <c r="C156" s="304">
        <v>0</v>
      </c>
    </row>
    <row r="157" spans="1:3" ht="12.75">
      <c r="A157" s="278" t="str">
        <f>+IF('Datos a presupuestar'!A292=0,"",'Datos a presupuestar'!A292)</f>
        <v>2020202-3</v>
      </c>
      <c r="B157" s="251" t="str">
        <f>+IF('Datos a presupuestar'!B292=0,"",'Datos a presupuestar'!B292)</f>
        <v>Pagos otras IPS</v>
      </c>
      <c r="C157" s="304">
        <v>0</v>
      </c>
    </row>
    <row r="158" spans="1:3" ht="12.75">
      <c r="A158" s="278" t="str">
        <f>+IF('Datos a presupuestar'!A293=0,"",'Datos a presupuestar'!A293)</f>
        <v>2020202-4</v>
      </c>
      <c r="B158" s="251" t="str">
        <f>+IF('Datos a presupuestar'!B293=0,"",'Datos a presupuestar'!B293)</f>
        <v>Comunicaciones y Transportes</v>
      </c>
      <c r="C158" s="304">
        <v>0</v>
      </c>
    </row>
    <row r="159" spans="1:3" ht="12.75">
      <c r="A159" s="278" t="str">
        <f>+IF('Datos a presupuestar'!A294=0,"",'Datos a presupuestar'!A294)</f>
        <v>2020202-5</v>
      </c>
      <c r="B159" s="251" t="str">
        <f>+IF('Datos a presupuestar'!B294=0,"",'Datos a presupuestar'!B294)</f>
        <v>Viáticos y Gastos de Viaje</v>
      </c>
      <c r="C159" s="304">
        <v>0</v>
      </c>
    </row>
    <row r="160" spans="1:3" ht="12.75">
      <c r="A160" s="278" t="str">
        <f>+IF('Datos a presupuestar'!A295=0,"",'Datos a presupuestar'!A295)</f>
        <v>2020202-6</v>
      </c>
      <c r="B160" s="251" t="str">
        <f>+IF('Datos a presupuestar'!B295=0,"",'Datos a presupuestar'!B295)</f>
        <v>Plan Integral de Manejos de Residuos Sólidos Hospitalarios</v>
      </c>
      <c r="C160" s="304">
        <v>0</v>
      </c>
    </row>
    <row r="161" spans="1:3" ht="12.75">
      <c r="A161" s="278" t="str">
        <f>+IF('Datos a presupuestar'!A296=0,"",'Datos a presupuestar'!A296)</f>
        <v>2020202-7</v>
      </c>
      <c r="B161" s="251" t="str">
        <f>+IF('Datos a presupuestar'!B296=0,"",'Datos a presupuestar'!B296)</f>
        <v>Servicios de laboratorio contratados con terceros</v>
      </c>
      <c r="C161" s="304">
        <v>0</v>
      </c>
    </row>
    <row r="162" spans="1:3" ht="12.75">
      <c r="A162" s="278" t="str">
        <f>+IF('Datos a presupuestar'!A297=0,"",'Datos a presupuestar'!A297)</f>
        <v>2020202-8</v>
      </c>
      <c r="B162" s="251" t="str">
        <f>+IF('Datos a presupuestar'!B297=0,"",'Datos a presupuestar'!B297)</f>
        <v>Servicios de rayos X e imaginología contratados con terceros</v>
      </c>
      <c r="C162" s="304">
        <v>0</v>
      </c>
    </row>
    <row r="163" spans="1:3" ht="12.75">
      <c r="A163" s="278" t="str">
        <f>+IF('Datos a presupuestar'!A298=0,"",'Datos a presupuestar'!A298)</f>
        <v>2020202-9</v>
      </c>
      <c r="B163" s="251" t="str">
        <f>+IF('Datos a presupuestar'!B298=0,"",'Datos a presupuestar'!B298)</f>
        <v>Arrendamientos</v>
      </c>
      <c r="C163" s="304">
        <v>0</v>
      </c>
    </row>
    <row r="164" spans="1:3" ht="12.75">
      <c r="A164" s="278" t="str">
        <f>+IF('Datos a presupuestar'!A299=0,"",'Datos a presupuestar'!A299)</f>
        <v>2020202-10</v>
      </c>
      <c r="B164" s="251" t="str">
        <f>+IF('Datos a presupuestar'!B299=0,"",'Datos a presupuestar'!B299)</f>
        <v>Servicios Públicos</v>
      </c>
      <c r="C164" s="304">
        <v>0</v>
      </c>
    </row>
    <row r="165" spans="1:3" ht="12.75">
      <c r="A165" s="278" t="str">
        <f>+IF('Datos a presupuestar'!A300=0,"",'Datos a presupuestar'!A300)</f>
        <v>2020202-11</v>
      </c>
      <c r="B165" s="251">
        <f>+IF('Datos a presupuestar'!B300=0,"",'Datos a presupuestar'!B300)</f>
      </c>
      <c r="C165" s="304">
        <v>0</v>
      </c>
    </row>
    <row r="166" spans="1:3" ht="14.25">
      <c r="A166" s="280">
        <f>+IF('Datos a presupuestar'!A301=0,"",'Datos a presupuestar'!A301)</f>
        <v>2020299</v>
      </c>
      <c r="B166" s="250" t="str">
        <f>+IF('Datos a presupuestar'!B301=0,"",'Datos a presupuestar'!B301)</f>
        <v>Vigencias Anteriores</v>
      </c>
      <c r="C166" s="304">
        <v>0</v>
      </c>
    </row>
    <row r="167" spans="1:3" ht="12.75">
      <c r="A167" s="268">
        <f>+IF('Datos a presupuestar'!A302=0,"",'Datos a presupuestar'!A302)</f>
      </c>
      <c r="B167" s="223">
        <f>+IF('Datos a presupuestar'!B302=0,"",'Datos a presupuestar'!B302)</f>
      </c>
      <c r="C167" s="269"/>
    </row>
    <row r="168" spans="1:3" ht="16.5">
      <c r="A168" s="270">
        <f>+IF('Datos a presupuestar'!A303=0,"",'Datos a presupuestar'!A303)</f>
        <v>3000000</v>
      </c>
      <c r="B168" s="245" t="str">
        <f>+IF('Datos a presupuestar'!B303=0,"",'Datos a presupuestar'!B303)</f>
        <v>TRANSFERENCIAS CORRIENTES</v>
      </c>
      <c r="C168" s="271">
        <f>C170+C174+C181</f>
        <v>0</v>
      </c>
    </row>
    <row r="169" spans="1:3" ht="12.75">
      <c r="A169" s="268">
        <f>+IF('Datos a presupuestar'!A304=0,"",'Datos a presupuestar'!A304)</f>
      </c>
      <c r="B169" s="223">
        <f>+IF('Datos a presupuestar'!B304=0,"",'Datos a presupuestar'!B304)</f>
      </c>
      <c r="C169" s="269"/>
    </row>
    <row r="170" spans="1:3" ht="15">
      <c r="A170" s="274">
        <f>+IF('Datos a presupuestar'!A305=0,"",'Datos a presupuestar'!A305)</f>
        <v>3100000</v>
      </c>
      <c r="B170" s="249" t="str">
        <f>+IF('Datos a presupuestar'!B305=0,"",'Datos a presupuestar'!B305)</f>
        <v>Transferencias al Sector Público</v>
      </c>
      <c r="C170" s="299">
        <f>SUM(C171:C172)</f>
        <v>0</v>
      </c>
    </row>
    <row r="171" spans="1:3" ht="14.25">
      <c r="A171" s="275">
        <f>+IF('Datos a presupuestar'!A306=0,"",'Datos a presupuestar'!A306)</f>
        <v>3100003</v>
      </c>
      <c r="B171" s="242" t="str">
        <f>+IF('Datos a presupuestar'!B306=0,"",'Datos a presupuestar'!B306)</f>
        <v>Entidades Públicas (Contraloria, Supersalud,…)</v>
      </c>
      <c r="C171" s="303">
        <v>0</v>
      </c>
    </row>
    <row r="172" spans="1:3" ht="14.25">
      <c r="A172" s="280">
        <f>+IF('Datos a presupuestar'!A307=0,"",'Datos a presupuestar'!A307)</f>
        <v>3199999</v>
      </c>
      <c r="B172" s="250" t="str">
        <f>+IF('Datos a presupuestar'!B307=0,"",'Datos a presupuestar'!B307)</f>
        <v>Vigencias Anteriores</v>
      </c>
      <c r="C172" s="303">
        <v>0</v>
      </c>
    </row>
    <row r="173" spans="1:3" ht="12.75">
      <c r="A173" s="268">
        <f>+IF('Datos a presupuestar'!A308=0,"",'Datos a presupuestar'!A308)</f>
      </c>
      <c r="B173" s="223">
        <f>+IF('Datos a presupuestar'!B308=0,"",'Datos a presupuestar'!B308)</f>
      </c>
      <c r="C173" s="269"/>
    </row>
    <row r="174" spans="1:3" ht="15">
      <c r="A174" s="274">
        <f>+IF('Datos a presupuestar'!A309=0,"",'Datos a presupuestar'!A309)</f>
        <v>320000</v>
      </c>
      <c r="B174" s="249" t="str">
        <f>+IF('Datos a presupuestar'!B309=0,"",'Datos a presupuestar'!B309)</f>
        <v>Transf. Previsión y Seguridad Social</v>
      </c>
      <c r="C174" s="299">
        <f>SUM(C175:C179)</f>
        <v>0</v>
      </c>
    </row>
    <row r="175" spans="1:3" ht="14.25">
      <c r="A175" s="275">
        <f>+IF('Datos a presupuestar'!A310=0,"",'Datos a presupuestar'!A310)</f>
        <v>3200100</v>
      </c>
      <c r="B175" s="242" t="str">
        <f>+IF('Datos a presupuestar'!B310=0,"",'Datos a presupuestar'!B310)</f>
        <v>Pensiones y Jubilaciones (Pago Directo)</v>
      </c>
      <c r="C175" s="303">
        <v>0</v>
      </c>
    </row>
    <row r="176" spans="1:3" ht="14.25">
      <c r="A176" s="275">
        <f>+IF('Datos a presupuestar'!A311=0,"",'Datos a presupuestar'!A311)</f>
        <v>3200200</v>
      </c>
      <c r="B176" s="242" t="str">
        <f>+IF('Datos a presupuestar'!B311=0,"",'Datos a presupuestar'!B311)</f>
        <v>Cesantías Pago Directo (Pago Directo)</v>
      </c>
      <c r="C176" s="303">
        <v>0</v>
      </c>
    </row>
    <row r="177" spans="1:3" ht="14.25">
      <c r="A177" s="275">
        <f>+IF('Datos a presupuestar'!A312=0,"",'Datos a presupuestar'!A312)</f>
        <v>3200300</v>
      </c>
      <c r="B177" s="242" t="str">
        <f>+IF('Datos a presupuestar'!B312=0,"",'Datos a presupuestar'!B312)</f>
        <v>Bonos, cuotas de Bonos y cuotas partes jubilatorias</v>
      </c>
      <c r="C177" s="303">
        <v>0</v>
      </c>
    </row>
    <row r="178" spans="1:3" ht="14.25">
      <c r="A178" s="275">
        <f>+IF('Datos a presupuestar'!A313=0,"",'Datos a presupuestar'!A313)</f>
        <v>3200400</v>
      </c>
      <c r="B178" s="242" t="str">
        <f>+IF('Datos a presupuestar'!B313=0,"",'Datos a presupuestar'!B313)</f>
        <v>Intereses a las cesantias</v>
      </c>
      <c r="C178" s="303">
        <v>0</v>
      </c>
    </row>
    <row r="179" spans="1:3" ht="14.25">
      <c r="A179" s="280">
        <f>+IF('Datos a presupuestar'!A314=0,"",'Datos a presupuestar'!A314)</f>
        <v>3299999</v>
      </c>
      <c r="B179" s="250" t="str">
        <f>+IF('Datos a presupuestar'!B314=0,"",'Datos a presupuestar'!B314)</f>
        <v>Vigencias Anteriores</v>
      </c>
      <c r="C179" s="303">
        <v>0</v>
      </c>
    </row>
    <row r="180" spans="1:3" ht="12.75">
      <c r="A180" s="268">
        <f>+IF('Datos a presupuestar'!A315=0,"",'Datos a presupuestar'!A315)</f>
      </c>
      <c r="B180" s="223">
        <f>+IF('Datos a presupuestar'!B315=0,"",'Datos a presupuestar'!B315)</f>
      </c>
      <c r="C180" s="269"/>
    </row>
    <row r="181" spans="1:3" ht="15">
      <c r="A181" s="274">
        <f>+IF('Datos a presupuestar'!A316=0,"",'Datos a presupuestar'!A316)</f>
        <v>3300000</v>
      </c>
      <c r="B181" s="249" t="str">
        <f>+IF('Datos a presupuestar'!B316=0,"",'Datos a presupuestar'!B316)</f>
        <v>Otras Transferencias</v>
      </c>
      <c r="C181" s="299">
        <f>+SUM(C182:C183)+C187</f>
        <v>0</v>
      </c>
    </row>
    <row r="182" spans="1:3" ht="14.25">
      <c r="A182" s="275">
        <f>+IF('Datos a presupuestar'!A317=0,"",'Datos a presupuestar'!A317)</f>
        <v>3300100</v>
      </c>
      <c r="B182" s="242" t="str">
        <f>+IF('Datos a presupuestar'!B317=0,"",'Datos a presupuestar'!B317)</f>
        <v>Sentencias y Conciliaciones</v>
      </c>
      <c r="C182" s="303">
        <v>0</v>
      </c>
    </row>
    <row r="183" spans="1:3" ht="14.25">
      <c r="A183" s="275">
        <f>+IF('Datos a presupuestar'!A318=0,"",'Datos a presupuestar'!A318)</f>
        <v>3300200</v>
      </c>
      <c r="B183" s="242" t="str">
        <f>+IF('Datos a presupuestar'!B318=0,"",'Datos a presupuestar'!B318)</f>
        <v>Destinatarios de otras transferencias</v>
      </c>
      <c r="C183" s="276">
        <f>SUM(C184:C186)</f>
        <v>0</v>
      </c>
    </row>
    <row r="184" spans="1:3" ht="12.75">
      <c r="A184" s="278" t="str">
        <f>+IF('Datos a presupuestar'!A319=0,"",'Datos a presupuestar'!A319)</f>
        <v>3300200-1</v>
      </c>
      <c r="B184" s="251" t="str">
        <f>+IF('Datos a presupuestar'!B319=0,"",'Datos a presupuestar'!B319)</f>
        <v>COHAN</v>
      </c>
      <c r="C184" s="304">
        <v>0</v>
      </c>
    </row>
    <row r="185" spans="1:3" ht="12.75">
      <c r="A185" s="278" t="str">
        <f>+IF('Datos a presupuestar'!A320=0,"",'Datos a presupuestar'!A320)</f>
        <v>3300200-2</v>
      </c>
      <c r="B185" s="251" t="str">
        <f>+IF('Datos a presupuestar'!B320=0,"",'Datos a presupuestar'!B320)</f>
        <v>AESA</v>
      </c>
      <c r="C185" s="304">
        <v>0</v>
      </c>
    </row>
    <row r="186" spans="1:3" ht="12.75">
      <c r="A186" s="278" t="str">
        <f>+IF('Datos a presupuestar'!A321=0,"",'Datos a presupuestar'!A321)</f>
        <v>3300200-3</v>
      </c>
      <c r="B186" s="251" t="str">
        <f>+IF('Datos a presupuestar'!B321=0,"",'Datos a presupuestar'!B321)</f>
        <v>OTRAS </v>
      </c>
      <c r="C186" s="304">
        <v>0</v>
      </c>
    </row>
    <row r="187" spans="1:3" ht="14.25">
      <c r="A187" s="280">
        <f>+IF('Datos a presupuestar'!A322=0,"",'Datos a presupuestar'!A322)</f>
        <v>3399999</v>
      </c>
      <c r="B187" s="250" t="str">
        <f>+IF('Datos a presupuestar'!B322=0,"",'Datos a presupuestar'!B322)</f>
        <v>Vigencias Anteriores</v>
      </c>
      <c r="C187" s="303">
        <v>0</v>
      </c>
    </row>
    <row r="188" spans="1:3" ht="13.5" thickBot="1">
      <c r="A188" s="268">
        <f>+IF('Datos a presupuestar'!A323=0,"",'Datos a presupuestar'!A323)</f>
      </c>
      <c r="B188" s="223">
        <f>+IF('Datos a presupuestar'!B323=0,"",'Datos a presupuestar'!B323)</f>
      </c>
      <c r="C188" s="269"/>
    </row>
    <row r="189" spans="1:3" ht="36">
      <c r="A189" s="266" t="s">
        <v>78</v>
      </c>
      <c r="B189" s="447" t="s">
        <v>601</v>
      </c>
      <c r="C189" s="267">
        <f>C191+C208</f>
        <v>0</v>
      </c>
    </row>
    <row r="190" spans="1:3" ht="12.75">
      <c r="A190" s="268"/>
      <c r="B190" s="223"/>
      <c r="C190" s="269"/>
    </row>
    <row r="191" spans="1:3" ht="16.5">
      <c r="A191" s="270">
        <f>+IF('Datos a presupuestar'!A326=0,"",'Datos a presupuestar'!A326)</f>
        <v>4000000</v>
      </c>
      <c r="B191" s="245" t="str">
        <f>+IF('Datos a presupuestar'!B326=0,"",'Datos a presupuestar'!B326)</f>
        <v>GASTOS  DE PRESTACION DE SERVICIOS</v>
      </c>
      <c r="C191" s="271">
        <f>C193</f>
        <v>0</v>
      </c>
    </row>
    <row r="192" spans="1:3" ht="12.75">
      <c r="A192" s="268">
        <f>+IF('Datos a presupuestar'!A327=0,"",'Datos a presupuestar'!A327)</f>
      </c>
      <c r="B192" s="223">
        <f>+IF('Datos a presupuestar'!B327=0,"",'Datos a presupuestar'!B327)</f>
      </c>
      <c r="C192" s="269"/>
    </row>
    <row r="193" spans="1:3" ht="15">
      <c r="A193" s="274">
        <f>+IF('Datos a presupuestar'!A328=0,"",'Datos a presupuestar'!A328)</f>
        <v>4100000</v>
      </c>
      <c r="B193" s="249" t="str">
        <f>+IF('Datos a presupuestar'!B328=0,"",'Datos a presupuestar'!B328)</f>
        <v>Insumos y Suministros Hospitalarios</v>
      </c>
      <c r="C193" s="299">
        <f>C194+C202+C206</f>
        <v>0</v>
      </c>
    </row>
    <row r="194" spans="1:3" ht="14.25">
      <c r="A194" s="275">
        <f>+IF('Datos a presupuestar'!A329=0,"",'Datos a presupuestar'!A329)</f>
        <v>4100100</v>
      </c>
      <c r="B194" s="242" t="str">
        <f>+IF('Datos a presupuestar'!B329=0,"",'Datos a presupuestar'!B329)</f>
        <v>Compra de Bienes para la Prestacion de servicios</v>
      </c>
      <c r="C194" s="276">
        <f>SUM(C195:C201)</f>
        <v>0</v>
      </c>
    </row>
    <row r="195" spans="1:3" ht="12.75">
      <c r="A195" s="278" t="str">
        <f>+IF('Datos a presupuestar'!A330=0,"",'Datos a presupuestar'!A330)</f>
        <v>4100100-1</v>
      </c>
      <c r="B195" s="251" t="str">
        <f>+IF('Datos a presupuestar'!B330=0,"",'Datos a presupuestar'!B330)</f>
        <v>Productos Farmaceuticos</v>
      </c>
      <c r="C195" s="304">
        <v>0</v>
      </c>
    </row>
    <row r="196" spans="1:3" ht="12.75">
      <c r="A196" s="278" t="str">
        <f>+IF('Datos a presupuestar'!A331=0,"",'Datos a presupuestar'!A331)</f>
        <v>4100100-2</v>
      </c>
      <c r="B196" s="251" t="str">
        <f>+IF('Datos a presupuestar'!B331=0,"",'Datos a presupuestar'!B331)</f>
        <v>Material Médico Quirúrgico</v>
      </c>
      <c r="C196" s="304">
        <v>0</v>
      </c>
    </row>
    <row r="197" spans="1:3" ht="12.75">
      <c r="A197" s="278" t="str">
        <f>+IF('Datos a presupuestar'!A332=0,"",'Datos a presupuestar'!A332)</f>
        <v>4100100-3</v>
      </c>
      <c r="B197" s="251" t="str">
        <f>+IF('Datos a presupuestar'!B332=0,"",'Datos a presupuestar'!B332)</f>
        <v>Material de Laboratorio</v>
      </c>
      <c r="C197" s="304">
        <v>0</v>
      </c>
    </row>
    <row r="198" spans="1:3" ht="12.75">
      <c r="A198" s="278" t="str">
        <f>+IF('Datos a presupuestar'!A333=0,"",'Datos a presupuestar'!A333)</f>
        <v>4100100-4</v>
      </c>
      <c r="B198" s="251" t="str">
        <f>+IF('Datos a presupuestar'!B333=0,"",'Datos a presupuestar'!B333)</f>
        <v>Material para Odontologia</v>
      </c>
      <c r="C198" s="304">
        <v>0</v>
      </c>
    </row>
    <row r="199" spans="1:3" ht="12.75">
      <c r="A199" s="278" t="str">
        <f>+IF('Datos a presupuestar'!A334=0,"",'Datos a presupuestar'!A334)</f>
        <v>4100100-5</v>
      </c>
      <c r="B199" s="251" t="str">
        <f>+IF('Datos a presupuestar'!B334=0,"",'Datos a presupuestar'!B334)</f>
        <v>Material para Rayos X</v>
      </c>
      <c r="C199" s="304">
        <v>0</v>
      </c>
    </row>
    <row r="200" spans="1:3" ht="12.75">
      <c r="A200" s="278" t="str">
        <f>+IF('Datos a presupuestar'!A335=0,"",'Datos a presupuestar'!A335)</f>
        <v>4100100-6</v>
      </c>
      <c r="B200" s="251">
        <f>+IF('Datos a presupuestar'!B335=0,"",'Datos a presupuestar'!B335)</f>
      </c>
      <c r="C200" s="304">
        <v>0</v>
      </c>
    </row>
    <row r="201" spans="1:3" ht="12.75">
      <c r="A201" s="278" t="str">
        <f>+IF('Datos a presupuestar'!A336=0,"",'Datos a presupuestar'!A336)</f>
        <v>4100100-7</v>
      </c>
      <c r="B201" s="251">
        <f>+IF('Datos a presupuestar'!B336=0,"",'Datos a presupuestar'!B336)</f>
      </c>
      <c r="C201" s="304">
        <v>0</v>
      </c>
    </row>
    <row r="202" spans="1:3" ht="14.25">
      <c r="A202" s="275">
        <f>+IF('Datos a presupuestar'!A337=0,"",'Datos a presupuestar'!A337)</f>
        <v>4100200</v>
      </c>
      <c r="B202" s="242" t="str">
        <f>+IF('Datos a presupuestar'!B337=0,"",'Datos a presupuestar'!B337)</f>
        <v>Gastos Complementarios e Intermedios</v>
      </c>
      <c r="C202" s="276">
        <f>SUM(C203:C205)</f>
        <v>0</v>
      </c>
    </row>
    <row r="203" spans="1:3" ht="12.75">
      <c r="A203" s="278" t="str">
        <f>+IF('Datos a presupuestar'!A338=0,"",'Datos a presupuestar'!A338)</f>
        <v>4100200-1</v>
      </c>
      <c r="B203" s="251" t="str">
        <f>+IF('Datos a presupuestar'!B338=0,"",'Datos a presupuestar'!B338)</f>
        <v>     Alimentación</v>
      </c>
      <c r="C203" s="304">
        <v>0</v>
      </c>
    </row>
    <row r="204" spans="1:3" ht="12.75">
      <c r="A204" s="278" t="str">
        <f>+IF('Datos a presupuestar'!A339=0,"",'Datos a presupuestar'!A339)</f>
        <v>4100200-2</v>
      </c>
      <c r="B204" s="251">
        <f>+IF('Datos a presupuestar'!B339=0,"",'Datos a presupuestar'!B339)</f>
      </c>
      <c r="C204" s="304">
        <v>0</v>
      </c>
    </row>
    <row r="205" spans="1:3" ht="12.75">
      <c r="A205" s="278" t="str">
        <f>+IF('Datos a presupuestar'!A340=0,"",'Datos a presupuestar'!A340)</f>
        <v>4100200-3</v>
      </c>
      <c r="B205" s="251">
        <f>+IF('Datos a presupuestar'!B340=0,"",'Datos a presupuestar'!B340)</f>
      </c>
      <c r="C205" s="304">
        <v>0</v>
      </c>
    </row>
    <row r="206" spans="1:3" ht="14.25">
      <c r="A206" s="280">
        <f>+IF('Datos a presupuestar'!A341=0,"",'Datos a presupuestar'!A341)</f>
        <v>4199999</v>
      </c>
      <c r="B206" s="250" t="str">
        <f>+IF('Datos a presupuestar'!B341=0,"",'Datos a presupuestar'!B341)</f>
        <v>Vigencias Anteriores</v>
      </c>
      <c r="C206" s="303">
        <v>0</v>
      </c>
    </row>
    <row r="207" spans="1:3" ht="13.5" thickBot="1">
      <c r="A207" s="264">
        <f>+IF('Datos a presupuestar'!A342=0,"",'Datos a presupuestar'!A342)</f>
      </c>
      <c r="B207" s="252">
        <f>+IF('Datos a presupuestar'!B342=0,"",'Datos a presupuestar'!B342)</f>
      </c>
      <c r="C207" s="265"/>
    </row>
    <row r="208" spans="1:3" ht="15.75">
      <c r="A208" s="272">
        <f>+IF('Datos a presupuestar'!A343=0,"",'Datos a presupuestar'!A343)</f>
        <v>5000000</v>
      </c>
      <c r="B208" s="218" t="str">
        <f>+IF('Datos a presupuestar'!B343=0,"",'Datos a presupuestar'!B343)</f>
        <v>GASTOS DE COMERCIALIZACION</v>
      </c>
      <c r="C208" s="273">
        <f>C210</f>
        <v>0</v>
      </c>
    </row>
    <row r="209" spans="1:3" ht="12.75">
      <c r="A209" s="268">
        <f>+IF('Datos a presupuestar'!A344=0,"",'Datos a presupuestar'!A344)</f>
      </c>
      <c r="B209" s="223">
        <f>+IF('Datos a presupuestar'!B344=0,"",'Datos a presupuestar'!B344)</f>
      </c>
      <c r="C209" s="269"/>
    </row>
    <row r="210" spans="1:3" ht="15">
      <c r="A210" s="274">
        <f>+IF('Datos a presupuestar'!A345=0,"",'Datos a presupuestar'!A345)</f>
        <v>5100000</v>
      </c>
      <c r="B210" s="249" t="str">
        <f>+IF('Datos a presupuestar'!B345=0,"",'Datos a presupuestar'!B345)</f>
        <v>Insumos y Suministros para Venta al Público</v>
      </c>
      <c r="C210" s="299">
        <f>C211+C220</f>
        <v>0</v>
      </c>
    </row>
    <row r="211" spans="1:3" ht="14.25">
      <c r="A211" s="275">
        <f>+IF('Datos a presupuestar'!A346=0,"",'Datos a presupuestar'!A346)</f>
        <v>5100100</v>
      </c>
      <c r="B211" s="242" t="str">
        <f>+IF('Datos a presupuestar'!B346=0,"",'Datos a presupuestar'!B346)</f>
        <v>Compra de Bienes para la venta</v>
      </c>
      <c r="C211" s="276">
        <f>SUM(C212:C219)</f>
        <v>0</v>
      </c>
    </row>
    <row r="212" spans="1:3" ht="12.75">
      <c r="A212" s="278" t="str">
        <f>+IF('Datos a presupuestar'!A347=0,"",'Datos a presupuestar'!A347)</f>
        <v>5100100-1</v>
      </c>
      <c r="B212" s="251" t="str">
        <f>+IF('Datos a presupuestar'!B347=0,"",'Datos a presupuestar'!B347)</f>
        <v>Productos Farmaceuticos</v>
      </c>
      <c r="C212" s="304">
        <v>0</v>
      </c>
    </row>
    <row r="213" spans="1:3" ht="12.75">
      <c r="A213" s="278" t="str">
        <f>+IF('Datos a presupuestar'!A348=0,"",'Datos a presupuestar'!A348)</f>
        <v>5100100-2</v>
      </c>
      <c r="B213" s="251" t="str">
        <f>+IF('Datos a presupuestar'!B348=0,"",'Datos a presupuestar'!B348)</f>
        <v>Material Médico Quirúrgico</v>
      </c>
      <c r="C213" s="304">
        <v>0</v>
      </c>
    </row>
    <row r="214" spans="1:3" ht="12.75">
      <c r="A214" s="278" t="str">
        <f>+IF('Datos a presupuestar'!A349=0,"",'Datos a presupuestar'!A349)</f>
        <v>5100100-3</v>
      </c>
      <c r="B214" s="251" t="str">
        <f>+IF('Datos a presupuestar'!B349=0,"",'Datos a presupuestar'!B349)</f>
        <v>Material de Laboratorio</v>
      </c>
      <c r="C214" s="304">
        <v>0</v>
      </c>
    </row>
    <row r="215" spans="1:3" ht="12.75">
      <c r="A215" s="278" t="str">
        <f>+IF('Datos a presupuestar'!A350=0,"",'Datos a presupuestar'!A350)</f>
        <v>5100100-4</v>
      </c>
      <c r="B215" s="251" t="str">
        <f>+IF('Datos a presupuestar'!B350=0,"",'Datos a presupuestar'!B350)</f>
        <v>Material para Odontologia</v>
      </c>
      <c r="C215" s="304">
        <v>0</v>
      </c>
    </row>
    <row r="216" spans="1:3" ht="12.75">
      <c r="A216" s="278" t="str">
        <f>+IF('Datos a presupuestar'!A351=0,"",'Datos a presupuestar'!A351)</f>
        <v>5100100-5</v>
      </c>
      <c r="B216" s="251" t="str">
        <f>+IF('Datos a presupuestar'!B351=0,"",'Datos a presupuestar'!B351)</f>
        <v>Material para Rayos X</v>
      </c>
      <c r="C216" s="304">
        <v>0</v>
      </c>
    </row>
    <row r="217" spans="1:3" ht="12.75">
      <c r="A217" s="278" t="str">
        <f>+IF('Datos a presupuestar'!A352=0,"",'Datos a presupuestar'!A352)</f>
        <v>5100100-6</v>
      </c>
      <c r="B217" s="251" t="str">
        <f>+IF('Datos a presupuestar'!B352=0,"",'Datos a presupuestar'!B352)</f>
        <v>Material aseo personal, etc.</v>
      </c>
      <c r="C217" s="304">
        <v>0</v>
      </c>
    </row>
    <row r="218" spans="1:3" ht="12.75">
      <c r="A218" s="278" t="str">
        <f>+IF('Datos a presupuestar'!A353=0,"",'Datos a presupuestar'!A353)</f>
        <v>5100100-7</v>
      </c>
      <c r="B218" s="251">
        <f>+IF('Datos a presupuestar'!B353=0,"",'Datos a presupuestar'!B353)</f>
      </c>
      <c r="C218" s="304">
        <v>0</v>
      </c>
    </row>
    <row r="219" spans="1:3" ht="12.75">
      <c r="A219" s="278" t="str">
        <f>+IF('Datos a presupuestar'!A354=0,"",'Datos a presupuestar'!A354)</f>
        <v>5100100-8</v>
      </c>
      <c r="B219" s="251">
        <f>+IF('Datos a presupuestar'!B354=0,"",'Datos a presupuestar'!B354)</f>
      </c>
      <c r="C219" s="304">
        <v>0</v>
      </c>
    </row>
    <row r="220" spans="1:3" ht="14.25">
      <c r="A220" s="280">
        <f>+IF('Datos a presupuestar'!A355=0,"",'Datos a presupuestar'!A355)</f>
        <v>5199999</v>
      </c>
      <c r="B220" s="250" t="str">
        <f>+IF('Datos a presupuestar'!B355=0,"",'Datos a presupuestar'!B355)</f>
        <v>Vigencias Anteriores</v>
      </c>
      <c r="C220" s="303">
        <v>0</v>
      </c>
    </row>
    <row r="221" spans="1:3" ht="13.5" thickBot="1">
      <c r="A221" s="264">
        <f>+IF('Datos a presupuestar'!A356=0,"",'Datos a presupuestar'!A356)</f>
      </c>
      <c r="B221" s="252">
        <f>+IF('Datos a presupuestar'!B356=0,"",'Datos a presupuestar'!B356)</f>
      </c>
      <c r="C221" s="265"/>
    </row>
    <row r="222" spans="1:3" ht="18">
      <c r="A222" s="266" t="str">
        <f>+IF('Datos a presupuestar'!A357=0,"",'Datos a presupuestar'!A357)</f>
        <v>C</v>
      </c>
      <c r="B222" s="253" t="str">
        <f>+IF('Datos a presupuestar'!B357=0,"",'Datos a presupuestar'!B357)</f>
        <v>SERVICIO DE LA DEUDA </v>
      </c>
      <c r="C222" s="267">
        <f>C224+C229</f>
        <v>0</v>
      </c>
    </row>
    <row r="223" spans="1:3" ht="12.75">
      <c r="A223" s="268">
        <f>+IF('Datos a presupuestar'!A358=0,"",'Datos a presupuestar'!A358)</f>
      </c>
      <c r="B223" s="223">
        <f>+IF('Datos a presupuestar'!B358=0,"",'Datos a presupuestar'!B358)</f>
      </c>
      <c r="C223" s="269"/>
    </row>
    <row r="224" spans="1:3" ht="15.75">
      <c r="A224" s="272">
        <f>+IF('Datos a presupuestar'!A359=0,"",'Datos a presupuestar'!A359)</f>
        <v>7001000</v>
      </c>
      <c r="B224" s="218" t="str">
        <f>+IF('Datos a presupuestar'!B359=0,"",'Datos a presupuestar'!B359)</f>
        <v>SERVICIO DE LA DEUDA INTERNA</v>
      </c>
      <c r="C224" s="273">
        <f>SUM(C225:C227)</f>
        <v>0</v>
      </c>
    </row>
    <row r="225" spans="1:3" ht="14.25">
      <c r="A225" s="275">
        <f>+IF('Datos a presupuestar'!A360=0,"",'Datos a presupuestar'!A360)</f>
        <v>7001100</v>
      </c>
      <c r="B225" s="242" t="str">
        <f>+IF('Datos a presupuestar'!B360=0,"",'Datos a presupuestar'!B360)</f>
        <v>Amortización deuda Pública Interna</v>
      </c>
      <c r="C225" s="303">
        <v>0</v>
      </c>
    </row>
    <row r="226" spans="1:3" ht="14.25">
      <c r="A226" s="275">
        <f>+IF('Datos a presupuestar'!A361=0,"",'Datos a presupuestar'!A361)</f>
        <v>7001200</v>
      </c>
      <c r="B226" s="242" t="str">
        <f>+IF('Datos a presupuestar'!B361=0,"",'Datos a presupuestar'!B361)</f>
        <v>Intereses Comisiones y gastos de la Deuda Pública</v>
      </c>
      <c r="C226" s="303">
        <v>0</v>
      </c>
    </row>
    <row r="227" spans="1:3" ht="14.25">
      <c r="A227" s="280">
        <f>+IF('Datos a presupuestar'!A362=0,"",'Datos a presupuestar'!A362)</f>
        <v>7001999</v>
      </c>
      <c r="B227" s="250" t="str">
        <f>+IF('Datos a presupuestar'!B362=0,"",'Datos a presupuestar'!B362)</f>
        <v>Vigencias Anteriores</v>
      </c>
      <c r="C227" s="303">
        <v>0</v>
      </c>
    </row>
    <row r="228" spans="1:3" ht="12.75">
      <c r="A228" s="268">
        <f>+IF('Datos a presupuestar'!A363=0,"",'Datos a presupuestar'!A363)</f>
      </c>
      <c r="B228" s="223">
        <f>+IF('Datos a presupuestar'!B363=0,"",'Datos a presupuestar'!B363)</f>
      </c>
      <c r="C228" s="269"/>
    </row>
    <row r="229" spans="1:3" ht="15.75">
      <c r="A229" s="272">
        <f>+IF('Datos a presupuestar'!A364=0,"",'Datos a presupuestar'!A364)</f>
        <v>7002001</v>
      </c>
      <c r="B229" s="218" t="str">
        <f>+IF('Datos a presupuestar'!B364=0,"",'Datos a presupuestar'!B364)</f>
        <v>SERVICIO DE LA DEUDA EXTERNA</v>
      </c>
      <c r="C229" s="273">
        <f>SUM(C230:C232)</f>
        <v>0</v>
      </c>
    </row>
    <row r="230" spans="1:3" ht="14.25">
      <c r="A230" s="275">
        <f>+IF('Datos a presupuestar'!A365=0,"",'Datos a presupuestar'!A365)</f>
        <v>7002100</v>
      </c>
      <c r="B230" s="242" t="str">
        <f>+IF('Datos a presupuestar'!B365=0,"",'Datos a presupuestar'!B365)</f>
        <v>Amortización deuda Pública Externa</v>
      </c>
      <c r="C230" s="303">
        <v>0</v>
      </c>
    </row>
    <row r="231" spans="1:3" ht="14.25">
      <c r="A231" s="275">
        <f>+IF('Datos a presupuestar'!A366=0,"",'Datos a presupuestar'!A366)</f>
        <v>7002200</v>
      </c>
      <c r="B231" s="242" t="str">
        <f>+IF('Datos a presupuestar'!B366=0,"",'Datos a presupuestar'!B366)</f>
        <v>Intereses Comisiones y gastos de la Deuda Pública</v>
      </c>
      <c r="C231" s="303">
        <v>0</v>
      </c>
    </row>
    <row r="232" spans="1:3" ht="14.25">
      <c r="A232" s="280">
        <f>+IF('Datos a presupuestar'!A367=0,"",'Datos a presupuestar'!A367)</f>
        <v>7002999</v>
      </c>
      <c r="B232" s="250" t="str">
        <f>+IF('Datos a presupuestar'!B367=0,"",'Datos a presupuestar'!B367)</f>
        <v>Vigencias Anteriores</v>
      </c>
      <c r="C232" s="303">
        <v>0</v>
      </c>
    </row>
    <row r="233" spans="1:3" ht="13.5" thickBot="1">
      <c r="A233" s="264">
        <f>+IF('Datos a presupuestar'!A368=0,"",'Datos a presupuestar'!A368)</f>
      </c>
      <c r="B233" s="252">
        <f>+IF('Datos a presupuestar'!B368=0,"",'Datos a presupuestar'!B368)</f>
      </c>
      <c r="C233" s="265"/>
    </row>
    <row r="234" spans="1:3" ht="18">
      <c r="A234" s="266" t="str">
        <f>+IF('Datos a presupuestar'!A369=0,"",'Datos a presupuestar'!A369)</f>
        <v>D</v>
      </c>
      <c r="B234" s="253" t="str">
        <f>+IF('Datos a presupuestar'!B369=0,"",'Datos a presupuestar'!B369)</f>
        <v>INVERSION</v>
      </c>
      <c r="C234" s="267">
        <f>C236</f>
        <v>0</v>
      </c>
    </row>
    <row r="235" spans="1:3" ht="12.75">
      <c r="A235" s="268">
        <f>+IF('Datos a presupuestar'!A370=0,"",'Datos a presupuestar'!A370)</f>
      </c>
      <c r="B235" s="223">
        <f>+IF('Datos a presupuestar'!B370=0,"",'Datos a presupuestar'!B370)</f>
      </c>
      <c r="C235" s="269"/>
    </row>
    <row r="236" spans="1:3" ht="15.75">
      <c r="A236" s="272">
        <f>+IF('Datos a presupuestar'!A371=0,"",'Datos a presupuestar'!A371)</f>
        <v>8000000</v>
      </c>
      <c r="B236" s="218" t="str">
        <f>+IF('Datos a presupuestar'!B371=0,"",'Datos a presupuestar'!B371)</f>
        <v>PROGRAMAS DE INVERSION</v>
      </c>
      <c r="C236" s="273">
        <f>C238+C246</f>
        <v>0</v>
      </c>
    </row>
    <row r="237" spans="1:3" ht="12.75">
      <c r="A237" s="268">
        <f>+IF('Datos a presupuestar'!A372=0,"",'Datos a presupuestar'!A372)</f>
      </c>
      <c r="B237" s="223">
        <f>+IF('Datos a presupuestar'!B372=0,"",'Datos a presupuestar'!B372)</f>
      </c>
      <c r="C237" s="269"/>
    </row>
    <row r="238" spans="1:3" ht="15">
      <c r="A238" s="274">
        <f>+IF('Datos a presupuestar'!A373=0,"",'Datos a presupuestar'!A373)</f>
        <v>8001000</v>
      </c>
      <c r="B238" s="249" t="str">
        <f>+IF('Datos a presupuestar'!B373=0,"",'Datos a presupuestar'!B373)</f>
        <v>Formación Bruta del Capital</v>
      </c>
      <c r="C238" s="299">
        <f>SUM(C239:C244)</f>
        <v>0</v>
      </c>
    </row>
    <row r="239" spans="1:3" ht="14.25">
      <c r="A239" s="275" t="str">
        <f>+IF('Datos a presupuestar'!A374=0,"",'Datos a presupuestar'!A374)</f>
        <v>8001000-1</v>
      </c>
      <c r="B239" s="242" t="str">
        <f>+IF('Datos a presupuestar'!B374=0,"",'Datos a presupuestar'!B374)</f>
        <v>Subprogr.Construc. Remodelac. Adecuación y Apliac.1</v>
      </c>
      <c r="C239" s="303">
        <v>0</v>
      </c>
    </row>
    <row r="240" spans="1:3" ht="14.25">
      <c r="A240" s="275" t="str">
        <f>+IF('Datos a presupuestar'!A375=0,"",'Datos a presupuestar'!A375)</f>
        <v>8001000-2</v>
      </c>
      <c r="B240" s="242" t="str">
        <f>+IF('Datos a presupuestar'!B375=0,"",'Datos a presupuestar'!B375)</f>
        <v>Subprogr.Construc. Remodelac. Adecuación y Apliac.2</v>
      </c>
      <c r="C240" s="303">
        <v>0</v>
      </c>
    </row>
    <row r="241" spans="1:3" ht="14.25">
      <c r="A241" s="275" t="str">
        <f>+IF('Datos a presupuestar'!A376=0,"",'Datos a presupuestar'!A376)</f>
        <v>8001000-3</v>
      </c>
      <c r="B241" s="242" t="str">
        <f>+IF('Datos a presupuestar'!B376=0,"",'Datos a presupuestar'!B376)</f>
        <v>Subprogr.Construc. Remodelac. Adecuación y Apliac.3</v>
      </c>
      <c r="C241" s="303">
        <v>0</v>
      </c>
    </row>
    <row r="242" spans="1:3" ht="14.25">
      <c r="A242" s="275" t="str">
        <f>+IF('Datos a presupuestar'!A377=0,"",'Datos a presupuestar'!A377)</f>
        <v>8001000-4</v>
      </c>
      <c r="B242" s="242" t="str">
        <f>+IF('Datos a presupuestar'!B377=0,"",'Datos a presupuestar'!B377)</f>
        <v>Subprogr.Construc. Remodelac. Adecuación y Apliac.4</v>
      </c>
      <c r="C242" s="303">
        <v>0</v>
      </c>
    </row>
    <row r="243" spans="1:3" ht="14.25">
      <c r="A243" s="275" t="str">
        <f>+IF('Datos a presupuestar'!A378=0,"",'Datos a presupuestar'!A378)</f>
        <v>8001000-5</v>
      </c>
      <c r="B243" s="242" t="str">
        <f>+IF('Datos a presupuestar'!B378=0,"",'Datos a presupuestar'!B378)</f>
        <v>Subprogr.Construc. Remodelac. Adecuación y Apliac.5</v>
      </c>
      <c r="C243" s="303">
        <v>0</v>
      </c>
    </row>
    <row r="244" spans="1:3" ht="14.25">
      <c r="A244" s="280">
        <f>+IF('Datos a presupuestar'!A379=0,"",'Datos a presupuestar'!A379)</f>
        <v>8001999</v>
      </c>
      <c r="B244" s="250" t="str">
        <f>+IF('Datos a presupuestar'!B379=0,"",'Datos a presupuestar'!B379)</f>
        <v>Vigencias Anteriores</v>
      </c>
      <c r="C244" s="303">
        <v>0</v>
      </c>
    </row>
    <row r="245" spans="1:3" ht="12.75">
      <c r="A245" s="268">
        <f>+IF('Datos a presupuestar'!A380=0,"",'Datos a presupuestar'!A380)</f>
      </c>
      <c r="B245" s="223">
        <f>+IF('Datos a presupuestar'!B380=0,"",'Datos a presupuestar'!B380)</f>
      </c>
      <c r="C245" s="269"/>
    </row>
    <row r="246" spans="1:3" ht="15">
      <c r="A246" s="274">
        <f>+IF('Datos a presupuestar'!A381=0,"",'Datos a presupuestar'!A381)</f>
        <v>8002001</v>
      </c>
      <c r="B246" s="249" t="str">
        <f>+IF('Datos a presupuestar'!B381=0,"",'Datos a presupuestar'!B381)</f>
        <v>Gastos Operativos de Inversion   (Programas Especiales)</v>
      </c>
      <c r="C246" s="299">
        <f>SUM(C247:C254)</f>
        <v>0</v>
      </c>
    </row>
    <row r="247" spans="1:3" ht="14.25">
      <c r="A247" s="275" t="str">
        <f>+IF('Datos a presupuestar'!A382=0,"",'Datos a presupuestar'!A382)</f>
        <v>8002100-1</v>
      </c>
      <c r="B247" s="242" t="str">
        <f>+IF('Datos a presupuestar'!B382=0,"",'Datos a presupuestar'!B382)</f>
        <v>Fondo de la Vivienda</v>
      </c>
      <c r="C247" s="303">
        <v>0</v>
      </c>
    </row>
    <row r="248" spans="1:3" ht="14.25">
      <c r="A248" s="275" t="str">
        <f>+IF('Datos a presupuestar'!A383=0,"",'Datos a presupuestar'!A383)</f>
        <v>8002100-2</v>
      </c>
      <c r="B248" s="242" t="str">
        <f>+IF('Datos a presupuestar'!B383=0,"",'Datos a presupuestar'!B383)</f>
        <v>Programas Especial 1</v>
      </c>
      <c r="C248" s="303">
        <v>0</v>
      </c>
    </row>
    <row r="249" spans="1:3" ht="14.25">
      <c r="A249" s="275" t="str">
        <f>+IF('Datos a presupuestar'!A384=0,"",'Datos a presupuestar'!A384)</f>
        <v>8002100-3</v>
      </c>
      <c r="B249" s="242" t="str">
        <f>+IF('Datos a presupuestar'!B384=0,"",'Datos a presupuestar'!B384)</f>
        <v>Programas Especial 2</v>
      </c>
      <c r="C249" s="303">
        <v>0</v>
      </c>
    </row>
    <row r="250" spans="1:3" ht="14.25">
      <c r="A250" s="275" t="str">
        <f>+IF('Datos a presupuestar'!A385=0,"",'Datos a presupuestar'!A385)</f>
        <v>8002100-4</v>
      </c>
      <c r="B250" s="242" t="str">
        <f>+IF('Datos a presupuestar'!B385=0,"",'Datos a presupuestar'!B385)</f>
        <v>Programas Especial 3</v>
      </c>
      <c r="C250" s="303">
        <v>0</v>
      </c>
    </row>
    <row r="251" spans="1:3" ht="14.25">
      <c r="A251" s="275" t="str">
        <f>+IF('Datos a presupuestar'!A386=0,"",'Datos a presupuestar'!A386)</f>
        <v>8002100-5</v>
      </c>
      <c r="B251" s="242" t="str">
        <f>+IF('Datos a presupuestar'!B386=0,"",'Datos a presupuestar'!B386)</f>
        <v>Programas Especial 4</v>
      </c>
      <c r="C251" s="303">
        <v>0</v>
      </c>
    </row>
    <row r="252" spans="1:3" ht="14.25">
      <c r="A252" s="275" t="str">
        <f>+IF('Datos a presupuestar'!A387=0,"",'Datos a presupuestar'!A387)</f>
        <v>8002100-6</v>
      </c>
      <c r="B252" s="242" t="str">
        <f>+IF('Datos a presupuestar'!B387=0,"",'Datos a presupuestar'!B387)</f>
        <v>Programas Especial 5</v>
      </c>
      <c r="C252" s="303">
        <v>0</v>
      </c>
    </row>
    <row r="253" spans="1:3" ht="14.25">
      <c r="A253" s="275" t="str">
        <f>+IF('Datos a presupuestar'!A388=0,"",'Datos a presupuestar'!A388)</f>
        <v>8002100-7</v>
      </c>
      <c r="B253" s="242" t="str">
        <f>+IF('Datos a presupuestar'!B388=0,"",'Datos a presupuestar'!B388)</f>
        <v>Programas Especial 6</v>
      </c>
      <c r="C253" s="303">
        <v>0</v>
      </c>
    </row>
    <row r="254" spans="1:3" ht="14.25">
      <c r="A254" s="280">
        <f>+IF('Datos a presupuestar'!A389=0,"",'Datos a presupuestar'!A389)</f>
        <v>8002999</v>
      </c>
      <c r="B254" s="250" t="str">
        <f>+IF('Datos a presupuestar'!B389=0,"",'Datos a presupuestar'!B389)</f>
        <v>Vigencias Anteriores</v>
      </c>
      <c r="C254" s="303">
        <v>0</v>
      </c>
    </row>
    <row r="255" spans="1:3" ht="13.5" thickBot="1">
      <c r="A255" s="256">
        <f>+IF('Datos a presupuestar'!A390=0,"",'Datos a presupuestar'!A390)</f>
      </c>
      <c r="B255" s="61">
        <f>+IF('Datos a presupuestar'!B390=0,"",'Datos a presupuestar'!B390)</f>
      </c>
      <c r="C255" s="257"/>
    </row>
    <row r="256" spans="1:3" ht="18.75" thickBot="1">
      <c r="A256" s="281" t="str">
        <f>+IF('Datos a presupuestar'!A391=0,"",'Datos a presupuestar'!A391)</f>
        <v>E</v>
      </c>
      <c r="B256" s="282" t="str">
        <f>+IF('Datos a presupuestar'!B391=0,"",'Datos a presupuestar'!B391)</f>
        <v>DISPONIBILIDAD FINAL</v>
      </c>
      <c r="C256" s="283">
        <v>0</v>
      </c>
    </row>
    <row r="257" ht="13.5" thickTop="1"/>
    <row r="258" ht="12.75"/>
    <row r="267" ht="12.75"/>
    <row r="268" ht="12.75"/>
    <row r="269" ht="12.75"/>
  </sheetData>
  <sheetProtection sheet="1"/>
  <mergeCells count="4">
    <mergeCell ref="A2:B2"/>
    <mergeCell ref="A1:B1"/>
    <mergeCell ref="A3:C3"/>
    <mergeCell ref="A5:C5"/>
  </mergeCells>
  <dataValidations count="1">
    <dataValidation type="whole" allowBlank="1" showInputMessage="1" showErrorMessage="1" errorTitle="CUIDADO.." error="Debe registrar cifras enteras sin puntos ni comas." sqref="C17:C19 C21:C32 C35:C40 C44:C47 C49:C54 C58:C60 C65:C67 C82:C85 C89:C92 C94:C99 C103:C105 C112:C118 C121:C136 C139:C140 C145 C147:C150 C153 C155:C166 C171:C172 C175:C179 C182 C184:C187 C195:C201 C203:C206 C212:C220 C225:C227 C230:C232 C239:C244 C247:C254 C69:C79">
      <formula1>0</formula1>
      <formula2>100000000000000</formula2>
    </dataValidation>
  </dataValidations>
  <printOptions horizontalCentered="1" verticalCentered="1"/>
  <pageMargins left="0.3937007874015748" right="0.1968503937007874" top="0.3937007874015748" bottom="0.984251968503937" header="0.1968503937007874" footer="0.7874015748031497"/>
  <pageSetup horizontalDpi="360" verticalDpi="360" orientation="portrait" scale="83" r:id="rId3"/>
  <headerFooter alignWithMargins="0">
    <oddFooter>&amp;C&amp;A  -  Página &amp;P</oddFooter>
  </headerFooter>
  <rowBreaks count="3" manualBreakCount="3">
    <brk id="119" max="255" man="1"/>
    <brk id="180" max="255" man="1"/>
    <brk id="245" max="255" man="1"/>
  </rowBreaks>
  <colBreaks count="1" manualBreakCount="1">
    <brk id="3" max="65535" man="1"/>
  </colBreaks>
  <legacyDrawing r:id="rId2"/>
</worksheet>
</file>

<file path=xl/worksheets/sheet9.xml><?xml version="1.0" encoding="utf-8"?>
<worksheet xmlns="http://schemas.openxmlformats.org/spreadsheetml/2006/main" xmlns:r="http://schemas.openxmlformats.org/officeDocument/2006/relationships">
  <sheetPr codeName="Hoja8"/>
  <dimension ref="A1:L521"/>
  <sheetViews>
    <sheetView showGridLines="0" zoomScale="90" zoomScaleNormal="90" zoomScalePageLayoutView="0" workbookViewId="0" topLeftCell="A1">
      <selection activeCell="A1" sqref="A1:B1"/>
    </sheetView>
  </sheetViews>
  <sheetFormatPr defaultColWidth="0" defaultRowHeight="12.75" zeroHeight="1"/>
  <cols>
    <col min="1" max="1" width="13.8515625" style="357" customWidth="1"/>
    <col min="2" max="2" width="75.8515625" style="228" customWidth="1"/>
    <col min="3" max="3" width="27.7109375" style="228" customWidth="1"/>
    <col min="4" max="4" width="2.7109375" style="228" customWidth="1"/>
    <col min="5" max="5" width="22.7109375" style="228" customWidth="1"/>
    <col min="6" max="6" width="20.7109375" style="228" customWidth="1"/>
    <col min="7" max="7" width="1.28515625" style="228" customWidth="1"/>
    <col min="8" max="12" width="0" style="228" hidden="1" customWidth="1"/>
    <col min="13" max="16384" width="11.00390625" style="228" hidden="1" customWidth="1"/>
  </cols>
  <sheetData>
    <row r="1" spans="1:12" s="333" customFormat="1" ht="21.75" customHeight="1">
      <c r="A1" s="740" t="s">
        <v>355</v>
      </c>
      <c r="B1" s="741"/>
      <c r="C1" s="548" t="s">
        <v>356</v>
      </c>
      <c r="E1" s="753" t="str">
        <f>+IF(F1="","","HAY DESFINANCIACION")</f>
        <v>HAY DESFINANCIACION</v>
      </c>
      <c r="F1" s="747">
        <f>IF((C143-C8)=0,"",C143-C8)</f>
        <v>-0.188507080078125</v>
      </c>
      <c r="H1"/>
      <c r="I1"/>
      <c r="J1"/>
      <c r="K1"/>
      <c r="L1"/>
    </row>
    <row r="2" spans="1:12" s="334" customFormat="1" ht="21.75" customHeight="1">
      <c r="A2" s="742" t="s">
        <v>16</v>
      </c>
      <c r="B2" s="743"/>
      <c r="C2" s="549">
        <f>+'Información general'!$C$5</f>
        <v>2021</v>
      </c>
      <c r="E2" s="753"/>
      <c r="F2" s="747"/>
      <c r="H2" s="229"/>
      <c r="I2" s="229"/>
      <c r="J2" s="229"/>
      <c r="K2" s="229"/>
      <c r="L2" s="229"/>
    </row>
    <row r="3" spans="1:12" ht="21.75" customHeight="1">
      <c r="A3" s="744" t="str">
        <f>+CONCATENATE('Información general'!$B$3,"  -  ",'Información general'!$B$4)</f>
        <v>ITAGUI  -  ESE HOSPITAL SAN RAFAEL DE ITAGUI</v>
      </c>
      <c r="B3" s="745"/>
      <c r="C3" s="746"/>
      <c r="E3" s="748" t="str">
        <f>+IF(E1="","","ESTA ALERTA DE DESFINANCIACION SE DEBE A UN VALOR FALTANTE O SOBRANTE ENTRE INGRESOS Vs. GASTOS. NO HAGA NADA EN ESTA HOJA, SI NO QUE PASE A LA HOJA ""Datos de desfinanciación"" Y HAGA ALLÍ LOS AJUSTES PARA EL EQUILIBRIO.")</f>
        <v>ESTA ALERTA DE DESFINANCIACION SE DEBE A UN VALOR FALTANTE O SOBRANTE ENTRE INGRESOS Vs. GASTOS. NO HAGA NADA EN ESTA HOJA, SI NO QUE PASE A LA HOJA "Datos de desfinanciación" Y HAGA ALLÍ LOS AJUSTES PARA EL EQUILIBRIO.</v>
      </c>
      <c r="F3" s="749" t="str">
        <f>+IF(F1="","",IF(F1&gt;0,"LOS GASTOS SON SUPERIORES A LOS INGRESOS","LOS INGRESOS SON SUPERIORES A LOS GASTOS"))</f>
        <v>LOS INGRESOS SON SUPERIORES A LOS GASTOS</v>
      </c>
      <c r="H3" s="229"/>
      <c r="I3" s="229"/>
      <c r="J3" s="229"/>
      <c r="K3" s="229"/>
      <c r="L3" s="229"/>
    </row>
    <row r="4" spans="1:12" ht="18.75" customHeight="1">
      <c r="A4" s="481"/>
      <c r="B4" s="472"/>
      <c r="C4" s="482"/>
      <c r="E4" s="748"/>
      <c r="F4" s="749"/>
      <c r="H4" s="229"/>
      <c r="I4" s="229"/>
      <c r="J4" s="229"/>
      <c r="K4" s="229"/>
      <c r="L4" s="229"/>
    </row>
    <row r="5" spans="1:12" ht="24.75" customHeight="1">
      <c r="A5" s="758" t="s">
        <v>359</v>
      </c>
      <c r="B5" s="759"/>
      <c r="C5" s="760"/>
      <c r="E5" s="748"/>
      <c r="F5" s="749"/>
      <c r="H5" s="229"/>
      <c r="I5" s="229"/>
      <c r="J5" s="229"/>
      <c r="K5" s="229"/>
      <c r="L5" s="229"/>
    </row>
    <row r="6" spans="1:6" s="229" customFormat="1" ht="24.75" customHeight="1">
      <c r="A6" s="483" t="s">
        <v>17</v>
      </c>
      <c r="B6" s="473" t="s">
        <v>442</v>
      </c>
      <c r="C6" s="484" t="s">
        <v>357</v>
      </c>
      <c r="E6" s="748"/>
      <c r="F6" s="749"/>
    </row>
    <row r="7" spans="1:6" s="229" customFormat="1" ht="7.5" customHeight="1">
      <c r="A7" s="485"/>
      <c r="B7" s="474"/>
      <c r="C7" s="486"/>
      <c r="E7" s="748"/>
      <c r="F7" s="749"/>
    </row>
    <row r="8" spans="1:6" s="229" customFormat="1" ht="23.25">
      <c r="A8" s="487">
        <f>+IF('Datos a presupuestar'!A8=0,"",'Datos a presupuestar'!A8)</f>
        <v>1</v>
      </c>
      <c r="B8" s="336" t="str">
        <f>+IF('Datos a presupuestar'!B8=0,"",'Datos a presupuestar'!B8)</f>
        <v>INGRESOS</v>
      </c>
      <c r="C8" s="488">
        <f>+C10+C17+C116</f>
        <v>49154543228.18851</v>
      </c>
      <c r="E8" s="748"/>
      <c r="F8" s="749"/>
    </row>
    <row r="9" spans="1:6" s="229" customFormat="1" ht="15" customHeight="1">
      <c r="A9" s="485">
        <f>+IF('Datos a presupuestar'!A9=0,"",'Datos a presupuestar'!A9)</f>
      </c>
      <c r="B9" s="474">
        <f>+IF('Datos a presupuestar'!B9=0,"",'Datos a presupuestar'!B9)</f>
      </c>
      <c r="C9" s="486"/>
      <c r="E9" s="748"/>
      <c r="F9" s="749"/>
    </row>
    <row r="10" spans="1:6" ht="18">
      <c r="A10" s="489">
        <f>+IF('Datos a presupuestar'!A10=0,"",'Datos a presupuestar'!A10)</f>
        <v>10</v>
      </c>
      <c r="B10" s="475" t="str">
        <f>+IF('Datos a presupuestar'!B10=0,"",'Datos a presupuestar'!B10)</f>
        <v>DISPONIBILIDAD INICIAL</v>
      </c>
      <c r="C10" s="490">
        <f>SUM(C12:C15)</f>
        <v>0</v>
      </c>
      <c r="D10" s="337"/>
      <c r="E10" s="748"/>
      <c r="F10" s="749"/>
    </row>
    <row r="11" spans="1:6" ht="12" customHeight="1">
      <c r="A11" s="485">
        <f>+IF('Datos a presupuestar'!A11=0,"",'Datos a presupuestar'!A11)</f>
      </c>
      <c r="B11" s="474">
        <f>+IF('Datos a presupuestar'!B11=0,"",'Datos a presupuestar'!B11)</f>
      </c>
      <c r="C11" s="486"/>
      <c r="D11" s="337"/>
      <c r="E11" s="748"/>
      <c r="F11" s="749"/>
    </row>
    <row r="12" spans="1:6" ht="14.25">
      <c r="A12" s="491">
        <f>+IF('Datos a presupuestar'!A12=0,"",'Datos a presupuestar'!A12)</f>
        <v>1001</v>
      </c>
      <c r="B12" s="339" t="str">
        <f>+IF('Datos a presupuestar'!B12=0,"",'Datos a presupuestar'!B12)</f>
        <v>Caja, Bancos, Inversiones Temporales a Dic. 31 de 2020 ( Bienestar Social)</v>
      </c>
      <c r="C12" s="492">
        <f>+'Datos a presupuestar'!C12</f>
        <v>0</v>
      </c>
      <c r="D12" s="337"/>
      <c r="E12" s="333"/>
      <c r="F12" s="338"/>
    </row>
    <row r="13" spans="1:5" ht="14.25">
      <c r="A13" s="491">
        <f>+IF('Datos a presupuestar'!A13=0,"",'Datos a presupuestar'!A13)</f>
        <v>1002</v>
      </c>
      <c r="B13" s="339" t="str">
        <f>+IF('Datos a presupuestar'!B13=0,"",'Datos a presupuestar'!B13)</f>
        <v>Caja, Bancos, Inversiones Temporales a Dic. 31 de 2020 ( Fondo Vivienda )</v>
      </c>
      <c r="C13" s="492">
        <f>+'Datos a presupuestar'!C13</f>
        <v>0</v>
      </c>
      <c r="D13" s="229"/>
      <c r="E13" s="333"/>
    </row>
    <row r="14" spans="1:4" ht="14.25">
      <c r="A14" s="491">
        <f>+IF('Datos a presupuestar'!A14=0,"",'Datos a presupuestar'!A14)</f>
        <v>1003</v>
      </c>
      <c r="B14" s="339" t="str">
        <f>+IF('Datos a presupuestar'!B14=0,"",'Datos a presupuestar'!B14)</f>
        <v>Caja, Bancos, Inversiones Temporales a Dic. 31 de 2020 (Comunes y Especiales)</v>
      </c>
      <c r="C14" s="492">
        <f>+'Datos a presupuestar'!C14</f>
        <v>0</v>
      </c>
      <c r="D14" s="229"/>
    </row>
    <row r="15" spans="1:4" ht="14.25">
      <c r="A15" s="491">
        <f>+IF('Datos a presupuestar'!A15=0,"",'Datos a presupuestar'!A15)</f>
        <v>1004</v>
      </c>
      <c r="B15" s="339" t="str">
        <f>+IF('Datos a presupuestar'!B15=0,"",'Datos a presupuestar'!B15)</f>
        <v>Cesantias Ley 50/90 a Diciembre de 2020</v>
      </c>
      <c r="C15" s="492">
        <f>+'Datos a presupuestar'!C15</f>
        <v>0</v>
      </c>
      <c r="D15" s="229"/>
    </row>
    <row r="16" spans="1:4" ht="15" customHeight="1">
      <c r="A16" s="485">
        <f>+IF('Datos a presupuestar'!A16=0,"",'Datos a presupuestar'!A16)</f>
      </c>
      <c r="B16" s="474">
        <f>+IF('Datos a presupuestar'!B16=0,"",'Datos a presupuestar'!B16)</f>
      </c>
      <c r="C16" s="486"/>
      <c r="D16" s="229"/>
    </row>
    <row r="17" spans="1:5" ht="18">
      <c r="A17" s="489">
        <f>+IF('Datos a presupuestar'!A17=0,"",'Datos a presupuestar'!A17)</f>
        <v>11</v>
      </c>
      <c r="B17" s="475" t="str">
        <f>+IF('Datos a presupuestar'!B17=0,"",'Datos a presupuestar'!B17)</f>
        <v>INGRESOS  CORRIENTES</v>
      </c>
      <c r="C17" s="490">
        <f>+C19+C97+C107</f>
        <v>34554756460</v>
      </c>
      <c r="D17" s="229"/>
      <c r="E17" s="333"/>
    </row>
    <row r="18" spans="1:5" ht="12" customHeight="1">
      <c r="A18" s="485">
        <f>+IF('Datos a presupuestar'!A18=0,"",'Datos a presupuestar'!A18)</f>
      </c>
      <c r="B18" s="474">
        <f>+IF('Datos a presupuestar'!B18=0,"",'Datos a presupuestar'!B18)</f>
      </c>
      <c r="C18" s="486"/>
      <c r="D18" s="229"/>
      <c r="E18" s="333"/>
    </row>
    <row r="19" spans="1:5" ht="15.75">
      <c r="A19" s="493">
        <f>+IF('Datos a presupuestar'!A19=0,"",'Datos a presupuestar'!A19)</f>
        <v>113</v>
      </c>
      <c r="B19" s="340" t="str">
        <f>+IF('Datos a presupuestar'!B19=0,"",'Datos a presupuestar'!B19)</f>
        <v>VENTA DE SERVICIOS</v>
      </c>
      <c r="C19" s="494">
        <f>C21+C88</f>
        <v>32918865060</v>
      </c>
      <c r="D19" s="229"/>
      <c r="E19" s="333"/>
    </row>
    <row r="20" spans="1:4" ht="9.75" customHeight="1">
      <c r="A20" s="485">
        <f>+IF('Datos a presupuestar'!A20=0,"",'Datos a presupuestar'!A20)</f>
      </c>
      <c r="B20" s="474">
        <f>+IF('Datos a presupuestar'!B20=0,"",'Datos a presupuestar'!B20)</f>
      </c>
      <c r="C20" s="486"/>
      <c r="D20" s="229"/>
    </row>
    <row r="21" spans="1:4" ht="15.75">
      <c r="A21" s="493">
        <f>+IF('Datos a presupuestar'!A21=0,"",'Datos a presupuestar'!A21)</f>
        <v>11301</v>
      </c>
      <c r="B21" s="340" t="str">
        <f>+IF('Datos a presupuestar'!B21=0,"",'Datos a presupuestar'!B21)</f>
        <v>Venta de Servicios de Salud</v>
      </c>
      <c r="C21" s="494">
        <f>C23+C26+C29+C42+C45+C48+C51+C54+C57+C60+C63+C66+C69+C72+C75+C78+C81+C84</f>
        <v>32918865060</v>
      </c>
      <c r="D21" s="229"/>
    </row>
    <row r="22" spans="1:4" ht="7.5" customHeight="1">
      <c r="A22" s="485">
        <f>+IF('Datos a presupuestar'!A22=0,"",'Datos a presupuestar'!A22)</f>
      </c>
      <c r="B22" s="474">
        <f>+IF('Datos a presupuestar'!B22=0,"",'Datos a presupuestar'!B22)</f>
      </c>
      <c r="C22" s="486"/>
      <c r="D22" s="229"/>
    </row>
    <row r="23" spans="1:4" s="18" customFormat="1" ht="15.75">
      <c r="A23" s="495">
        <f>+IF('Datos a presupuestar'!A23=0,"",'Datos a presupuestar'!A23)</f>
        <v>1130101</v>
      </c>
      <c r="B23" s="341" t="str">
        <f>+IF('Datos a presupuestar'!B23=0,"",'Datos a presupuestar'!B23)</f>
        <v>EPS - REGIMEN CONTRIBUTIVO</v>
      </c>
      <c r="C23" s="496">
        <f>SUM(C24:C25)</f>
        <v>8229399194</v>
      </c>
      <c r="D23" s="16"/>
    </row>
    <row r="24" spans="1:4" s="359" customFormat="1" ht="14.25">
      <c r="A24" s="497" t="str">
        <f>+IF('Datos a presupuestar'!A24=0,"",'Datos a presupuestar'!A24)</f>
        <v>1130101-1</v>
      </c>
      <c r="B24" s="342" t="str">
        <f>+IF('Datos a presupuestar'!B24=0,"",'Datos a presupuestar'!B24)</f>
        <v>Vigencia 2021</v>
      </c>
      <c r="C24" s="492">
        <f>+'Datos a presupuestar'!C24</f>
        <v>8229399194</v>
      </c>
      <c r="D24" s="358"/>
    </row>
    <row r="25" spans="1:4" s="361" customFormat="1" ht="15.75">
      <c r="A25" s="498" t="str">
        <f>+IF('Datos a presupuestar'!A25=0,"",'Datos a presupuestar'!A25)</f>
        <v>1130101-2</v>
      </c>
      <c r="B25" s="385" t="str">
        <f>+IF('Datos a presupuestar'!B25=0,"",'Datos a presupuestar'!B25)</f>
        <v>Vigencia Anterior</v>
      </c>
      <c r="C25" s="492">
        <f>+'Datos a presupuestar'!C25</f>
        <v>0</v>
      </c>
      <c r="D25" s="348"/>
    </row>
    <row r="26" spans="1:4" s="231" customFormat="1" ht="15.75">
      <c r="A26" s="495">
        <f>+IF('Datos a presupuestar'!A26=0,"",'Datos a presupuestar'!A26)</f>
        <v>1130102</v>
      </c>
      <c r="B26" s="341" t="str">
        <f>+IF('Datos a presupuestar'!B26=0,"",'Datos a presupuestar'!B26)</f>
        <v>EPS - REGIMEN SUBSIDIADO</v>
      </c>
      <c r="C26" s="496">
        <f>SUM(C27:C28)</f>
        <v>17666281141</v>
      </c>
      <c r="D26" s="230"/>
    </row>
    <row r="27" spans="1:4" s="359" customFormat="1" ht="14.25">
      <c r="A27" s="497" t="str">
        <f>+IF('Datos a presupuestar'!A27=0,"",'Datos a presupuestar'!A27)</f>
        <v>1130102-1</v>
      </c>
      <c r="B27" s="342" t="str">
        <f>+IF('Datos a presupuestar'!B27=0,"",'Datos a presupuestar'!B27)</f>
        <v>Vigencia 2021</v>
      </c>
      <c r="C27" s="492">
        <f>+'Datos a presupuestar'!C27</f>
        <v>17666281141</v>
      </c>
      <c r="D27" s="358"/>
    </row>
    <row r="28" spans="1:4" s="363" customFormat="1" ht="14.25">
      <c r="A28" s="498" t="str">
        <f>+IF('Datos a presupuestar'!A28=0,"",'Datos a presupuestar'!A28)</f>
        <v>1130102-2</v>
      </c>
      <c r="B28" s="385" t="str">
        <f>+IF('Datos a presupuestar'!B28=0,"",'Datos a presupuestar'!B28)</f>
        <v>Vigencia Anterior</v>
      </c>
      <c r="C28" s="492">
        <f>+'Datos a presupuestar'!C28</f>
        <v>0</v>
      </c>
      <c r="D28" s="362"/>
    </row>
    <row r="29" spans="1:4" s="231" customFormat="1" ht="30">
      <c r="A29" s="495">
        <f>+IF('Datos a presupuestar'!A29=0,"",'Datos a presupuestar'!A29)</f>
        <v>1130103</v>
      </c>
      <c r="B29" s="343" t="str">
        <f>+IF('Datos a presupuestar'!B29=0,"",'Datos a presupuestar'!B29)</f>
        <v>SUBSIDIO A LA OFERTA- ATENCION PERSONAS POBRES NO CUBIERTOS CON SUBSIDIO A LA DEMANDA</v>
      </c>
      <c r="C29" s="496">
        <f>C30+C33+C36+C39+C40+C41</f>
        <v>1706710379</v>
      </c>
      <c r="D29" s="230"/>
    </row>
    <row r="30" spans="1:4" ht="14.25">
      <c r="A30" s="499" t="str">
        <f>+IF('Datos a presupuestar'!A30=0,"",'Datos a presupuestar'!A30)</f>
        <v>1130103-1</v>
      </c>
      <c r="B30" s="344" t="str">
        <f>+IF('Datos a presupuestar'!B30=0,"",'Datos a presupuestar'!B30)</f>
        <v> Prestación de Servicios de salud  1er Nivel</v>
      </c>
      <c r="C30" s="500">
        <f>SUM(C31:C32)</f>
        <v>0</v>
      </c>
      <c r="D30" s="229"/>
    </row>
    <row r="31" spans="1:4" s="359" customFormat="1" ht="12.75">
      <c r="A31" s="501" t="str">
        <f>+IF('Datos a presupuestar'!A31=0,"",'Datos a presupuestar'!A31)</f>
        <v>1130103-1-1</v>
      </c>
      <c r="B31" s="373" t="str">
        <f>+IF('Datos a presupuestar'!B31=0,"",'Datos a presupuestar'!B31)</f>
        <v>Vigencia 2021</v>
      </c>
      <c r="C31" s="502">
        <f>+'Datos a presupuestar'!C31</f>
        <v>0</v>
      </c>
      <c r="D31" s="358"/>
    </row>
    <row r="32" spans="1:4" s="365" customFormat="1" ht="15">
      <c r="A32" s="501" t="str">
        <f>+IF('Datos a presupuestar'!A32=0,"",'Datos a presupuestar'!A32)</f>
        <v>1130103-1-2</v>
      </c>
      <c r="B32" s="373" t="str">
        <f>+IF('Datos a presupuestar'!B32=0,"",'Datos a presupuestar'!B32)</f>
        <v>Vigencia Anterior</v>
      </c>
      <c r="C32" s="502">
        <f>+'Datos a presupuestar'!C32</f>
        <v>0</v>
      </c>
      <c r="D32" s="364"/>
    </row>
    <row r="33" spans="1:4" ht="14.25">
      <c r="A33" s="503" t="str">
        <f>+IF('Datos a presupuestar'!A33=0,"",'Datos a presupuestar'!A33)</f>
        <v>1130103-2</v>
      </c>
      <c r="B33" s="375" t="str">
        <f>+IF('Datos a presupuestar'!B33=0,"",'Datos a presupuestar'!B33)</f>
        <v> Prestación de Servicios de salud  2o. Nivel</v>
      </c>
      <c r="C33" s="500">
        <f>SUM(C34:C35)</f>
        <v>1706710379</v>
      </c>
      <c r="D33" s="229"/>
    </row>
    <row r="34" spans="1:4" s="360" customFormat="1" ht="12.75">
      <c r="A34" s="501" t="str">
        <f>+IF('Datos a presupuestar'!A34=0,"",'Datos a presupuestar'!A34)</f>
        <v>1130103-2-1</v>
      </c>
      <c r="B34" s="373" t="str">
        <f>+IF('Datos a presupuestar'!B34=0,"",'Datos a presupuestar'!B34)</f>
        <v>Vigencia 2021</v>
      </c>
      <c r="C34" s="502">
        <f>+'Datos a presupuestar'!C34</f>
        <v>1706710379</v>
      </c>
      <c r="D34" s="358"/>
    </row>
    <row r="35" spans="1:4" s="366" customFormat="1" ht="12.75">
      <c r="A35" s="501" t="str">
        <f>+IF('Datos a presupuestar'!A35=0,"",'Datos a presupuestar'!A35)</f>
        <v>1130103-2-2</v>
      </c>
      <c r="B35" s="373" t="str">
        <f>+IF('Datos a presupuestar'!B35=0,"",'Datos a presupuestar'!B35)</f>
        <v>Vigencia Anterior</v>
      </c>
      <c r="C35" s="502">
        <f>+'Datos a presupuestar'!C35</f>
        <v>0</v>
      </c>
      <c r="D35" s="362"/>
    </row>
    <row r="36" spans="1:4" ht="14.25">
      <c r="A36" s="503" t="str">
        <f>+IF('Datos a presupuestar'!A36=0,"",'Datos a presupuestar'!A36)</f>
        <v>1130103-3</v>
      </c>
      <c r="B36" s="375" t="str">
        <f>+IF('Datos a presupuestar'!B36=0,"",'Datos a presupuestar'!B36)</f>
        <v> Prestación de Servicios de salud  3o. Nivel</v>
      </c>
      <c r="C36" s="500">
        <f>SUM(C37:C38)</f>
        <v>0</v>
      </c>
      <c r="D36" s="229"/>
    </row>
    <row r="37" spans="1:4" s="360" customFormat="1" ht="12.75">
      <c r="A37" s="501" t="str">
        <f>+IF('Datos a presupuestar'!A37=0,"",'Datos a presupuestar'!A37)</f>
        <v>1130103-3-1</v>
      </c>
      <c r="B37" s="373" t="str">
        <f>+IF('Datos a presupuestar'!B37=0,"",'Datos a presupuestar'!B37)</f>
        <v>Vigencia 2021</v>
      </c>
      <c r="C37" s="502">
        <f>+'Datos a presupuestar'!C37</f>
        <v>0</v>
      </c>
      <c r="D37" s="358"/>
    </row>
    <row r="38" spans="1:4" s="366" customFormat="1" ht="12.75">
      <c r="A38" s="501" t="str">
        <f>+IF('Datos a presupuestar'!A38=0,"",'Datos a presupuestar'!A38)</f>
        <v>1130103-3-2</v>
      </c>
      <c r="B38" s="373" t="str">
        <f>+IF('Datos a presupuestar'!B38=0,"",'Datos a presupuestar'!B38)</f>
        <v>Vigencia Anterior</v>
      </c>
      <c r="C38" s="502">
        <f>+'Datos a presupuestar'!C38</f>
        <v>0</v>
      </c>
      <c r="D38" s="362"/>
    </row>
    <row r="39" spans="1:4" s="236" customFormat="1" ht="14.25">
      <c r="A39" s="499" t="str">
        <f>+IF('Datos a presupuestar'!A39=0,"",'Datos a presupuestar'!A39)</f>
        <v>1130103-4</v>
      </c>
      <c r="B39" s="344" t="str">
        <f>+IF('Datos a presupuestar'!B39=0,"",'Datos a presupuestar'!B39)</f>
        <v> Aportes Patronales  1o. Nivel</v>
      </c>
      <c r="C39" s="502">
        <f>+'Datos a presupuestar'!C39</f>
        <v>0</v>
      </c>
      <c r="D39" s="229"/>
    </row>
    <row r="40" spans="1:4" s="236" customFormat="1" ht="14.25">
      <c r="A40" s="499" t="str">
        <f>+IF('Datos a presupuestar'!A40=0,"",'Datos a presupuestar'!A40)</f>
        <v>1130103-5</v>
      </c>
      <c r="B40" s="344" t="str">
        <f>+IF('Datos a presupuestar'!B40=0,"",'Datos a presupuestar'!B40)</f>
        <v> Aportes Patronales  2o. Nivel</v>
      </c>
      <c r="C40" s="502">
        <f>+'Datos a presupuestar'!C40</f>
        <v>0</v>
      </c>
      <c r="D40" s="229"/>
    </row>
    <row r="41" spans="1:4" s="236" customFormat="1" ht="14.25">
      <c r="A41" s="499" t="str">
        <f>+IF('Datos a presupuestar'!A41=0,"",'Datos a presupuestar'!A41)</f>
        <v>1130103-6</v>
      </c>
      <c r="B41" s="344" t="str">
        <f>+IF('Datos a presupuestar'!B41=0,"",'Datos a presupuestar'!B41)</f>
        <v> Aportes Patronales  3er. Nivel</v>
      </c>
      <c r="C41" s="502">
        <f>+'Datos a presupuestar'!C41</f>
        <v>0</v>
      </c>
      <c r="D41" s="229"/>
    </row>
    <row r="42" spans="1:4" s="236" customFormat="1" ht="15">
      <c r="A42" s="495">
        <f>+IF('Datos a presupuestar'!A42=0,"",'Datos a presupuestar'!A42)</f>
        <v>1130104</v>
      </c>
      <c r="B42" s="341" t="str">
        <f>+IF('Datos a presupuestar'!B42=0,"",'Datos a presupuestar'!B42)</f>
        <v>SUBSIDIO A LA OFERTA- ACTIVIDADES NO POS-S</v>
      </c>
      <c r="C42" s="496">
        <f>+SUM(C43:C44)</f>
        <v>0</v>
      </c>
      <c r="D42" s="229"/>
    </row>
    <row r="43" spans="1:4" s="360" customFormat="1" ht="14.25">
      <c r="A43" s="497" t="str">
        <f>+IF('Datos a presupuestar'!A43=0,"",'Datos a presupuestar'!A43)</f>
        <v>1130104-1</v>
      </c>
      <c r="B43" s="342" t="str">
        <f>+IF('Datos a presupuestar'!B43=0,"",'Datos a presupuestar'!B43)</f>
        <v>Vigencia 2021</v>
      </c>
      <c r="C43" s="492">
        <f>+'Datos a presupuestar'!C43</f>
        <v>0</v>
      </c>
      <c r="D43" s="358"/>
    </row>
    <row r="44" spans="1:4" s="368" customFormat="1" ht="15.75">
      <c r="A44" s="498" t="str">
        <f>+IF('Datos a presupuestar'!A44=0,"",'Datos a presupuestar'!A44)</f>
        <v>1130104-2</v>
      </c>
      <c r="B44" s="385" t="str">
        <f>+IF('Datos a presupuestar'!B44=0,"",'Datos a presupuestar'!B44)</f>
        <v>Vigencia Anterior</v>
      </c>
      <c r="C44" s="492">
        <f>+'Datos a presupuestar'!C44</f>
        <v>0</v>
      </c>
      <c r="D44" s="367"/>
    </row>
    <row r="45" spans="1:4" s="236" customFormat="1" ht="15">
      <c r="A45" s="495">
        <f>+IF('Datos a presupuestar'!A45=0,"",'Datos a presupuestar'!A45)</f>
        <v>1130106</v>
      </c>
      <c r="B45" s="341" t="str">
        <f>+IF('Datos a presupuestar'!B45=0,"",'Datos a presupuestar'!B45)</f>
        <v>SALUD PUBLICA, P y P</v>
      </c>
      <c r="C45" s="496">
        <f>SUM(C46:C47)</f>
        <v>0</v>
      </c>
      <c r="D45" s="229"/>
    </row>
    <row r="46" spans="1:4" s="360" customFormat="1" ht="14.25">
      <c r="A46" s="497" t="str">
        <f>+IF('Datos a presupuestar'!A46=0,"",'Datos a presupuestar'!A46)</f>
        <v>1130106-1</v>
      </c>
      <c r="B46" s="342" t="str">
        <f>+IF('Datos a presupuestar'!B46=0,"",'Datos a presupuestar'!B46)</f>
        <v>Vigencia 2021</v>
      </c>
      <c r="C46" s="492">
        <f>+'Datos a presupuestar'!C46</f>
        <v>0</v>
      </c>
      <c r="D46" s="358"/>
    </row>
    <row r="47" spans="1:4" s="368" customFormat="1" ht="15.75">
      <c r="A47" s="498" t="str">
        <f>+IF('Datos a presupuestar'!A47=0,"",'Datos a presupuestar'!A47)</f>
        <v>1130106-2</v>
      </c>
      <c r="B47" s="385" t="str">
        <f>+IF('Datos a presupuestar'!B47=0,"",'Datos a presupuestar'!B47)</f>
        <v>Vigencia Anterior</v>
      </c>
      <c r="C47" s="492">
        <f>+'Datos a presupuestar'!C47</f>
        <v>0</v>
      </c>
      <c r="D47" s="367"/>
    </row>
    <row r="48" spans="1:4" s="231" customFormat="1" ht="15.75">
      <c r="A48" s="495">
        <f>+IF('Datos a presupuestar'!A48=0,"",'Datos a presupuestar'!A48)</f>
        <v>1130107</v>
      </c>
      <c r="B48" s="341" t="str">
        <f>+IF('Datos a presupuestar'!B48=0,"",'Datos a presupuestar'!B48)</f>
        <v>MINSALUD-FOSYGA-RECLAMACIONES ECAT</v>
      </c>
      <c r="C48" s="496">
        <f>SUM(C49:C50)</f>
        <v>340444416</v>
      </c>
      <c r="D48" s="230"/>
    </row>
    <row r="49" spans="1:4" s="360" customFormat="1" ht="14.25">
      <c r="A49" s="497" t="str">
        <f>+IF('Datos a presupuestar'!A49=0,"",'Datos a presupuestar'!A49)</f>
        <v>1130107-1</v>
      </c>
      <c r="B49" s="342" t="str">
        <f>+IF('Datos a presupuestar'!B49=0,"",'Datos a presupuestar'!B49)</f>
        <v>Vigencia 2021</v>
      </c>
      <c r="C49" s="492">
        <f>+'Datos a presupuestar'!C49</f>
        <v>340444416</v>
      </c>
      <c r="D49" s="358"/>
    </row>
    <row r="50" spans="1:4" s="366" customFormat="1" ht="14.25">
      <c r="A50" s="498" t="str">
        <f>+IF('Datos a presupuestar'!A50=0,"",'Datos a presupuestar'!A50)</f>
        <v>1130107-2</v>
      </c>
      <c r="B50" s="385" t="str">
        <f>+IF('Datos a presupuestar'!B50=0,"",'Datos a presupuestar'!B50)</f>
        <v>Vigencia Anterior</v>
      </c>
      <c r="C50" s="492">
        <f>+'Datos a presupuestar'!C50</f>
        <v>0</v>
      </c>
      <c r="D50" s="362"/>
    </row>
    <row r="51" spans="1:4" s="231" customFormat="1" ht="15.75">
      <c r="A51" s="495">
        <f>+IF('Datos a presupuestar'!A51=0,"",'Datos a presupuestar'!A51)</f>
        <v>1130108</v>
      </c>
      <c r="B51" s="341" t="str">
        <f>+IF('Datos a presupuestar'!B51=0,"",'Datos a presupuestar'!B51)</f>
        <v>MINSALUD-FOSYGA -TRAUMA MAYOR Y DESPLAZADOS</v>
      </c>
      <c r="C51" s="496">
        <f>SUM(C52:C53)</f>
        <v>0</v>
      </c>
      <c r="D51" s="230"/>
    </row>
    <row r="52" spans="1:4" s="360" customFormat="1" ht="14.25">
      <c r="A52" s="497">
        <f>+IF('Datos a presupuestar'!A52=0,"",'Datos a presupuestar'!A52)</f>
        <v>1130108</v>
      </c>
      <c r="B52" s="342" t="str">
        <f>+IF('Datos a presupuestar'!B52=0,"",'Datos a presupuestar'!B52)</f>
        <v>Vigencia 2021</v>
      </c>
      <c r="C52" s="492">
        <f>+'Datos a presupuestar'!C52</f>
        <v>0</v>
      </c>
      <c r="D52" s="358"/>
    </row>
    <row r="53" spans="1:4" s="366" customFormat="1" ht="14.25">
      <c r="A53" s="498">
        <f>+IF('Datos a presupuestar'!A53=0,"",'Datos a presupuestar'!A53)</f>
        <v>1130108</v>
      </c>
      <c r="B53" s="385" t="str">
        <f>+IF('Datos a presupuestar'!B53=0,"",'Datos a presupuestar'!B53)</f>
        <v>Vigencia Anterior</v>
      </c>
      <c r="C53" s="492">
        <f>+'Datos a presupuestar'!C53</f>
        <v>0</v>
      </c>
      <c r="D53" s="362"/>
    </row>
    <row r="54" spans="1:4" s="231" customFormat="1" ht="15.75">
      <c r="A54" s="495">
        <f>+IF('Datos a presupuestar'!A54=0,"",'Datos a presupuestar'!A54)</f>
        <v>1130109</v>
      </c>
      <c r="B54" s="341" t="str">
        <f>+IF('Datos a presupuestar'!B54=0,"",'Datos a presupuestar'!B54)</f>
        <v>EPS - PLANES COMPLEMENTARIOS</v>
      </c>
      <c r="C54" s="496">
        <f>SUM(C55:C56)</f>
        <v>0</v>
      </c>
      <c r="D54" s="230"/>
    </row>
    <row r="55" spans="1:4" s="360" customFormat="1" ht="14.25">
      <c r="A55" s="497" t="str">
        <f>+IF('Datos a presupuestar'!A55=0,"",'Datos a presupuestar'!A55)</f>
        <v>1130109-1</v>
      </c>
      <c r="B55" s="342" t="str">
        <f>+IF('Datos a presupuestar'!B55=0,"",'Datos a presupuestar'!B55)</f>
        <v>Vigencia 2021</v>
      </c>
      <c r="C55" s="492">
        <f>+'Datos a presupuestar'!C55</f>
        <v>0</v>
      </c>
      <c r="D55" s="358"/>
    </row>
    <row r="56" spans="1:4" s="366" customFormat="1" ht="14.25">
      <c r="A56" s="498" t="str">
        <f>+IF('Datos a presupuestar'!A56=0,"",'Datos a presupuestar'!A56)</f>
        <v>1130109-2</v>
      </c>
      <c r="B56" s="385" t="str">
        <f>+IF('Datos a presupuestar'!B56=0,"",'Datos a presupuestar'!B56)</f>
        <v>Vigencia Anterior</v>
      </c>
      <c r="C56" s="492">
        <f>+'Datos a presupuestar'!C56</f>
        <v>0</v>
      </c>
      <c r="D56" s="362"/>
    </row>
    <row r="57" spans="1:4" s="231" customFormat="1" ht="15.75">
      <c r="A57" s="495">
        <f>+IF('Datos a presupuestar'!A57=0,"",'Datos a presupuestar'!A57)</f>
        <v>1130110</v>
      </c>
      <c r="B57" s="341" t="str">
        <f>+IF('Datos a presupuestar'!B57=0,"",'Datos a presupuestar'!B57)</f>
        <v>EMPRESAS MEDICINA PREPAGADA</v>
      </c>
      <c r="C57" s="496">
        <f>SUM(C58:C59)</f>
        <v>0</v>
      </c>
      <c r="D57" s="230"/>
    </row>
    <row r="58" spans="1:4" s="360" customFormat="1" ht="14.25">
      <c r="A58" s="497" t="str">
        <f>+IF('Datos a presupuestar'!A58=0,"",'Datos a presupuestar'!A58)</f>
        <v>1130110-1</v>
      </c>
      <c r="B58" s="342" t="str">
        <f>+IF('Datos a presupuestar'!B58=0,"",'Datos a presupuestar'!B58)</f>
        <v>Vigencia 2021</v>
      </c>
      <c r="C58" s="492">
        <f>+'Datos a presupuestar'!C58</f>
        <v>0</v>
      </c>
      <c r="D58" s="358"/>
    </row>
    <row r="59" spans="1:4" s="366" customFormat="1" ht="14.25">
      <c r="A59" s="498" t="str">
        <f>+IF('Datos a presupuestar'!A59=0,"",'Datos a presupuestar'!A59)</f>
        <v>1130110-2</v>
      </c>
      <c r="B59" s="385" t="str">
        <f>+IF('Datos a presupuestar'!B59=0,"",'Datos a presupuestar'!B59)</f>
        <v>Vigencia Anterior</v>
      </c>
      <c r="C59" s="492">
        <f>+'Datos a presupuestar'!C59</f>
        <v>0</v>
      </c>
      <c r="D59" s="362"/>
    </row>
    <row r="60" spans="1:4" s="231" customFormat="1" ht="15.75">
      <c r="A60" s="495">
        <f>+IF('Datos a presupuestar'!A60=0,"",'Datos a presupuestar'!A60)</f>
        <v>1130111</v>
      </c>
      <c r="B60" s="341" t="str">
        <f>+IF('Datos a presupuestar'!B60=0,"",'Datos a presupuestar'!B60)</f>
        <v>IPS PRIVADAS</v>
      </c>
      <c r="C60" s="496">
        <f>SUM(C61:C62)</f>
        <v>89878400</v>
      </c>
      <c r="D60" s="230"/>
    </row>
    <row r="61" spans="1:4" s="360" customFormat="1" ht="14.25">
      <c r="A61" s="497" t="str">
        <f>+IF('Datos a presupuestar'!A61=0,"",'Datos a presupuestar'!A61)</f>
        <v>1130111-1</v>
      </c>
      <c r="B61" s="342" t="str">
        <f>+IF('Datos a presupuestar'!B61=0,"",'Datos a presupuestar'!B61)</f>
        <v>Vigencia 2021</v>
      </c>
      <c r="C61" s="492">
        <f>+'Datos a presupuestar'!C61</f>
        <v>89878400</v>
      </c>
      <c r="D61" s="358"/>
    </row>
    <row r="62" spans="1:4" s="366" customFormat="1" ht="14.25">
      <c r="A62" s="498" t="str">
        <f>+IF('Datos a presupuestar'!A62=0,"",'Datos a presupuestar'!A62)</f>
        <v>1130111-2</v>
      </c>
      <c r="B62" s="385" t="str">
        <f>+IF('Datos a presupuestar'!B62=0,"",'Datos a presupuestar'!B62)</f>
        <v>Vigencia Anterior</v>
      </c>
      <c r="C62" s="492">
        <f>+'Datos a presupuestar'!C62</f>
        <v>0</v>
      </c>
      <c r="D62" s="362"/>
    </row>
    <row r="63" spans="1:4" ht="15">
      <c r="A63" s="495">
        <f>+IF('Datos a presupuestar'!A63=0,"",'Datos a presupuestar'!A63)</f>
        <v>1130112</v>
      </c>
      <c r="B63" s="341" t="str">
        <f>+IF('Datos a presupuestar'!B63=0,"",'Datos a presupuestar'!B63)</f>
        <v>IPS PUBLICAS</v>
      </c>
      <c r="C63" s="496">
        <f>SUM(C64:C65)</f>
        <v>139485600</v>
      </c>
      <c r="D63" s="229"/>
    </row>
    <row r="64" spans="1:4" s="360" customFormat="1" ht="14.25">
      <c r="A64" s="497" t="str">
        <f>+IF('Datos a presupuestar'!A64=0,"",'Datos a presupuestar'!A64)</f>
        <v>1130112-1</v>
      </c>
      <c r="B64" s="342" t="str">
        <f>+IF('Datos a presupuestar'!B64=0,"",'Datos a presupuestar'!B64)</f>
        <v>Vigencia 2021</v>
      </c>
      <c r="C64" s="492">
        <f>+'Datos a presupuestar'!C64</f>
        <v>139485600</v>
      </c>
      <c r="D64" s="358"/>
    </row>
    <row r="65" spans="1:4" s="366" customFormat="1" ht="14.25">
      <c r="A65" s="498" t="str">
        <f>+IF('Datos a presupuestar'!A65=0,"",'Datos a presupuestar'!A65)</f>
        <v>1130112-2</v>
      </c>
      <c r="B65" s="385" t="str">
        <f>+IF('Datos a presupuestar'!B65=0,"",'Datos a presupuestar'!B65)</f>
        <v>Vigencia Anterior</v>
      </c>
      <c r="C65" s="492">
        <f>+'Datos a presupuestar'!C65</f>
        <v>0</v>
      </c>
      <c r="D65" s="362"/>
    </row>
    <row r="66" spans="1:4" ht="15">
      <c r="A66" s="495">
        <f>+IF('Datos a presupuestar'!A66=0,"",'Datos a presupuestar'!A66)</f>
        <v>1130113</v>
      </c>
      <c r="B66" s="341" t="str">
        <f>+IF('Datos a presupuestar'!B66=0,"",'Datos a presupuestar'!B66)</f>
        <v>COMPAÑIAS DE SEGUROS  - ACCIDENTES DE TRANSITO</v>
      </c>
      <c r="C66" s="496">
        <f>SUM(C67:C68)</f>
        <v>1508485110</v>
      </c>
      <c r="D66" s="229"/>
    </row>
    <row r="67" spans="1:4" s="360" customFormat="1" ht="14.25">
      <c r="A67" s="497" t="str">
        <f>+IF('Datos a presupuestar'!A67=0,"",'Datos a presupuestar'!A67)</f>
        <v>1130113-1</v>
      </c>
      <c r="B67" s="342" t="str">
        <f>+IF('Datos a presupuestar'!B67=0,"",'Datos a presupuestar'!B67)</f>
        <v>Vigencia 2021</v>
      </c>
      <c r="C67" s="492">
        <f>+'Datos a presupuestar'!C67</f>
        <v>1508485110</v>
      </c>
      <c r="D67" s="358"/>
    </row>
    <row r="68" spans="1:4" s="366" customFormat="1" ht="14.25">
      <c r="A68" s="498" t="str">
        <f>+IF('Datos a presupuestar'!A68=0,"",'Datos a presupuestar'!A68)</f>
        <v>1130113-2</v>
      </c>
      <c r="B68" s="385" t="str">
        <f>+IF('Datos a presupuestar'!B68=0,"",'Datos a presupuestar'!B68)</f>
        <v>Vigencia Anterior</v>
      </c>
      <c r="C68" s="492">
        <f>+'Datos a presupuestar'!C68</f>
        <v>0</v>
      </c>
      <c r="D68" s="362"/>
    </row>
    <row r="69" spans="1:4" s="231" customFormat="1" ht="15.75">
      <c r="A69" s="495">
        <f>+IF('Datos a presupuestar'!A69=0,"",'Datos a presupuestar'!A69)</f>
        <v>1130114</v>
      </c>
      <c r="B69" s="341" t="str">
        <f>+IF('Datos a presupuestar'!B69=0,"",'Datos a presupuestar'!B69)</f>
        <v>COMPAÑIAS DE SEGUROS  - PLANES DE SALUD</v>
      </c>
      <c r="C69" s="496">
        <f>SUM(C70:C71)</f>
        <v>245115800</v>
      </c>
      <c r="D69" s="230"/>
    </row>
    <row r="70" spans="1:4" s="359" customFormat="1" ht="14.25">
      <c r="A70" s="497" t="str">
        <f>+IF('Datos a presupuestar'!A70=0,"",'Datos a presupuestar'!A70)</f>
        <v>1130114-1</v>
      </c>
      <c r="B70" s="342" t="str">
        <f>+IF('Datos a presupuestar'!B70=0,"",'Datos a presupuestar'!B70)</f>
        <v>Vigencia 2021</v>
      </c>
      <c r="C70" s="492">
        <f>+'Datos a presupuestar'!C70</f>
        <v>245115800</v>
      </c>
      <c r="D70" s="358"/>
    </row>
    <row r="71" spans="1:4" s="363" customFormat="1" ht="14.25">
      <c r="A71" s="498" t="str">
        <f>+IF('Datos a presupuestar'!A71=0,"",'Datos a presupuestar'!A71)</f>
        <v>1130114-2</v>
      </c>
      <c r="B71" s="385" t="str">
        <f>+IF('Datos a presupuestar'!B71=0,"",'Datos a presupuestar'!B71)</f>
        <v>Vigencia Anterior</v>
      </c>
      <c r="C71" s="492">
        <f>+'Datos a presupuestar'!C71</f>
        <v>0</v>
      </c>
      <c r="D71" s="362"/>
    </row>
    <row r="72" spans="1:4" s="231" customFormat="1" ht="15.75">
      <c r="A72" s="495">
        <f>+IF('Datos a presupuestar'!A72=0,"",'Datos a presupuestar'!A72)</f>
        <v>1130115</v>
      </c>
      <c r="B72" s="341" t="str">
        <f>+IF('Datos a presupuestar'!B72=0,"",'Datos a presupuestar'!B72)</f>
        <v>ENTIDADES DE REGIMEN ESPECIAL (Magisterio, Fuerza Pca.)</v>
      </c>
      <c r="C72" s="496">
        <f>SUM(C73:C74)</f>
        <v>1852135000</v>
      </c>
      <c r="D72" s="230"/>
    </row>
    <row r="73" spans="1:4" s="360" customFormat="1" ht="14.25">
      <c r="A73" s="497" t="str">
        <f>+IF('Datos a presupuestar'!A73=0,"",'Datos a presupuestar'!A73)</f>
        <v>1130115-1</v>
      </c>
      <c r="B73" s="342" t="str">
        <f>+IF('Datos a presupuestar'!B73=0,"",'Datos a presupuestar'!B73)</f>
        <v>Vigencia 2021</v>
      </c>
      <c r="C73" s="492">
        <f>+'Datos a presupuestar'!C73</f>
        <v>1852135000</v>
      </c>
      <c r="D73" s="358"/>
    </row>
    <row r="74" spans="1:4" s="366" customFormat="1" ht="14.25">
      <c r="A74" s="498" t="str">
        <f>+IF('Datos a presupuestar'!A74=0,"",'Datos a presupuestar'!A74)</f>
        <v>1130115-2</v>
      </c>
      <c r="B74" s="385" t="str">
        <f>+IF('Datos a presupuestar'!B74=0,"",'Datos a presupuestar'!B74)</f>
        <v>Vigencia Anterior</v>
      </c>
      <c r="C74" s="492">
        <f>+'Datos a presupuestar'!C74</f>
        <v>0</v>
      </c>
      <c r="D74" s="362"/>
    </row>
    <row r="75" spans="1:4" s="231" customFormat="1" ht="15.75">
      <c r="A75" s="495">
        <f>+IF('Datos a presupuestar'!A75=0,"",'Datos a presupuestar'!A75)</f>
        <v>1130116</v>
      </c>
      <c r="B75" s="341" t="str">
        <f>+IF('Datos a presupuestar'!B75=0,"",'Datos a presupuestar'!B75)</f>
        <v>ADMINISTRADORAS DE RIESGOS LABORALES</v>
      </c>
      <c r="C75" s="496">
        <f>SUM(C76:C77)</f>
        <v>390679020</v>
      </c>
      <c r="D75" s="230"/>
    </row>
    <row r="76" spans="1:4" s="359" customFormat="1" ht="14.25">
      <c r="A76" s="497" t="str">
        <f>+IF('Datos a presupuestar'!A76=0,"",'Datos a presupuestar'!A76)</f>
        <v>1130116-1</v>
      </c>
      <c r="B76" s="342" t="str">
        <f>+IF('Datos a presupuestar'!B76=0,"",'Datos a presupuestar'!B76)</f>
        <v>Vigencia 2021</v>
      </c>
      <c r="C76" s="492">
        <f>+'Datos a presupuestar'!C76</f>
        <v>390679020</v>
      </c>
      <c r="D76" s="358"/>
    </row>
    <row r="77" spans="1:4" s="363" customFormat="1" ht="14.25">
      <c r="A77" s="498" t="str">
        <f>+IF('Datos a presupuestar'!A77=0,"",'Datos a presupuestar'!A77)</f>
        <v>1130116-2</v>
      </c>
      <c r="B77" s="385" t="str">
        <f>+IF('Datos a presupuestar'!B77=0,"",'Datos a presupuestar'!B77)</f>
        <v>Vigencia Anterior</v>
      </c>
      <c r="C77" s="492">
        <f>+'Datos a presupuestar'!C77</f>
        <v>0</v>
      </c>
      <c r="D77" s="362"/>
    </row>
    <row r="78" spans="1:4" s="231" customFormat="1" ht="30">
      <c r="A78" s="495">
        <f>+IF('Datos a presupuestar'!A78=0,"",'Datos a presupuestar'!A78)</f>
        <v>1130117</v>
      </c>
      <c r="B78" s="343" t="str">
        <f>+IF('Datos a presupuestar'!B78=0,"",'Datos a presupuestar'!B78)</f>
        <v>CUOTAS DE RECUPERACION - PERSONAS POBRES EN LO NO CUBIERTO CON SUBSIDIO A LA DEMANDA</v>
      </c>
      <c r="C78" s="496">
        <f>SUM(C79:C80)</f>
        <v>0</v>
      </c>
      <c r="D78" s="230"/>
    </row>
    <row r="79" spans="1:4" s="359" customFormat="1" ht="14.25">
      <c r="A79" s="497" t="str">
        <f>+IF('Datos a presupuestar'!A79=0,"",'Datos a presupuestar'!A79)</f>
        <v>1130117-1</v>
      </c>
      <c r="B79" s="342" t="str">
        <f>+IF('Datos a presupuestar'!B79=0,"",'Datos a presupuestar'!B79)</f>
        <v>Vigencia 2021</v>
      </c>
      <c r="C79" s="492">
        <f>+'Datos a presupuestar'!C79</f>
        <v>0</v>
      </c>
      <c r="D79" s="358"/>
    </row>
    <row r="80" spans="1:4" s="363" customFormat="1" ht="14.25">
      <c r="A80" s="498" t="str">
        <f>+IF('Datos a presupuestar'!A80=0,"",'Datos a presupuestar'!A80)</f>
        <v>1130117-2</v>
      </c>
      <c r="B80" s="385" t="str">
        <f>+IF('Datos a presupuestar'!B80=0,"",'Datos a presupuestar'!B80)</f>
        <v>Vigencia Anterior</v>
      </c>
      <c r="C80" s="492">
        <f>+'Datos a presupuestar'!C80</f>
        <v>0</v>
      </c>
      <c r="D80" s="362"/>
    </row>
    <row r="81" spans="1:4" s="234" customFormat="1" ht="15">
      <c r="A81" s="495">
        <f>+IF('Datos a presupuestar'!A81=0,"",'Datos a presupuestar'!A81)</f>
        <v>1130118</v>
      </c>
      <c r="B81" s="341" t="str">
        <f>+IF('Datos a presupuestar'!B81=0,"",'Datos a presupuestar'!B81)</f>
        <v>PARTICULARES   (Venta de Contado)</v>
      </c>
      <c r="C81" s="496">
        <f>SUM(C82:C83)</f>
        <v>750251000</v>
      </c>
      <c r="D81" s="233"/>
    </row>
    <row r="82" spans="1:4" s="359" customFormat="1" ht="14.25">
      <c r="A82" s="497" t="str">
        <f>+IF('Datos a presupuestar'!A82=0,"",'Datos a presupuestar'!A82)</f>
        <v>1130118-1</v>
      </c>
      <c r="B82" s="342" t="str">
        <f>+IF('Datos a presupuestar'!B82=0,"",'Datos a presupuestar'!B82)</f>
        <v>Vigencia 2021</v>
      </c>
      <c r="C82" s="492">
        <f>+'Datos a presupuestar'!C82</f>
        <v>750251000</v>
      </c>
      <c r="D82" s="358"/>
    </row>
    <row r="83" spans="1:4" s="363" customFormat="1" ht="14.25">
      <c r="A83" s="498" t="str">
        <f>+IF('Datos a presupuestar'!A83=0,"",'Datos a presupuestar'!A83)</f>
        <v>1130118-2</v>
      </c>
      <c r="B83" s="385" t="str">
        <f>+IF('Datos a presupuestar'!B83=0,"",'Datos a presupuestar'!B83)</f>
        <v>Vigencia Anterior</v>
      </c>
      <c r="C83" s="492">
        <f>+'Datos a presupuestar'!C83</f>
        <v>0</v>
      </c>
      <c r="D83" s="362"/>
    </row>
    <row r="84" spans="1:4" s="231" customFormat="1" ht="15.75">
      <c r="A84" s="495">
        <f>+IF('Datos a presupuestar'!A84=0,"",'Datos a presupuestar'!A84)</f>
        <v>1130119</v>
      </c>
      <c r="B84" s="341" t="str">
        <f>+IF('Datos a presupuestar'!B84=0,"",'Datos a presupuestar'!B84)</f>
        <v>Digitar nombre de Nuevo Rubro. Si lo Requiere</v>
      </c>
      <c r="C84" s="496">
        <f>+'Datos a presupuestar'!C84</f>
        <v>0</v>
      </c>
      <c r="D84" s="230"/>
    </row>
    <row r="85" spans="1:4" s="231" customFormat="1" ht="15.75">
      <c r="A85" s="497" t="str">
        <f>+IF('Datos a presupuestar'!A85=0,"",'Datos a presupuestar'!A85)</f>
        <v>1130119-1</v>
      </c>
      <c r="B85" s="342" t="str">
        <f>+IF('Datos a presupuestar'!B85=0,"",'Datos a presupuestar'!B85)</f>
        <v>Vigencia 2021</v>
      </c>
      <c r="C85" s="504">
        <f>+'Datos a presupuestar'!C85</f>
        <v>0</v>
      </c>
      <c r="D85" s="230"/>
    </row>
    <row r="86" spans="1:4" s="231" customFormat="1" ht="15.75">
      <c r="A86" s="498" t="str">
        <f>+IF('Datos a presupuestar'!A86=0,"",'Datos a presupuestar'!A86)</f>
        <v>1130119-2</v>
      </c>
      <c r="B86" s="385" t="str">
        <f>+IF('Datos a presupuestar'!B86=0,"",'Datos a presupuestar'!B86)</f>
        <v>Vigencia Anterior</v>
      </c>
      <c r="C86" s="504">
        <f>+'Datos a presupuestar'!C86</f>
        <v>0</v>
      </c>
      <c r="D86" s="230"/>
    </row>
    <row r="87" spans="1:4" ht="9.75" customHeight="1">
      <c r="A87" s="498">
        <f>+IF('Datos a presupuestar'!A87=0,"",'Datos a presupuestar'!A87)</f>
      </c>
      <c r="B87" s="385">
        <f>+IF('Datos a presupuestar'!B87=0,"",'Datos a presupuestar'!B87)</f>
      </c>
      <c r="C87" s="504"/>
      <c r="D87" s="229"/>
    </row>
    <row r="88" spans="1:4" ht="15.75">
      <c r="A88" s="505">
        <f>+IF('Datos a presupuestar'!A88=0,"",'Datos a presupuestar'!A88)</f>
        <v>11302</v>
      </c>
      <c r="B88" s="450" t="str">
        <f>+IF('Datos a presupuestar'!B88=0,"",'Datos a presupuestar'!B88)</f>
        <v>Otras Ventas de Servicios</v>
      </c>
      <c r="C88" s="506">
        <f>+SUM(C89:C95)</f>
        <v>0</v>
      </c>
      <c r="D88" s="229"/>
    </row>
    <row r="89" spans="1:4" ht="18.75" customHeight="1">
      <c r="A89" s="507">
        <f>+IF('Datos a presupuestar'!A89=0,"",'Datos a presupuestar'!A89)</f>
        <v>1130201</v>
      </c>
      <c r="B89" s="244">
        <f>+IF('Datos a presupuestar'!B89=0,"",'Datos a presupuestar'!B89)</f>
      </c>
      <c r="C89" s="504">
        <f>+'Datos a presupuestar'!C89</f>
        <v>0</v>
      </c>
      <c r="D89" s="229"/>
    </row>
    <row r="90" spans="1:4" s="231" customFormat="1" ht="15.75">
      <c r="A90" s="507">
        <f>+IF('Datos a presupuestar'!A90=0,"",'Datos a presupuestar'!A90)</f>
        <v>1130202</v>
      </c>
      <c r="B90" s="343">
        <f>+IF('Datos a presupuestar'!B90=0,"",'Datos a presupuestar'!B90)</f>
      </c>
      <c r="C90" s="504">
        <f>+'Datos a presupuestar'!C90</f>
        <v>0</v>
      </c>
      <c r="D90" s="230"/>
    </row>
    <row r="91" spans="1:6" s="345" customFormat="1" ht="30">
      <c r="A91" s="507">
        <f>+IF('Datos a presupuestar'!A91=0,"",'Datos a presupuestar'!A91)</f>
        <v>1130203</v>
      </c>
      <c r="B91" s="244" t="str">
        <f>+IF('Datos a presupuestar'!B91=0,"",'Datos a presupuestar'!B91)</f>
        <v>CONVENIOS CON LA NACION LIGADOS A LA VENTA DE SERVICIOS</v>
      </c>
      <c r="C91" s="504">
        <f>+'Datos a presupuestar'!C91</f>
        <v>0</v>
      </c>
      <c r="D91" s="229"/>
      <c r="E91" s="228"/>
      <c r="F91" s="228"/>
    </row>
    <row r="92" spans="1:4" s="18" customFormat="1" ht="30">
      <c r="A92" s="507">
        <f>+IF('Datos a presupuestar'!A92=0,"",'Datos a presupuestar'!A92)</f>
        <v>1130204</v>
      </c>
      <c r="B92" s="244" t="str">
        <f>+IF('Datos a presupuestar'!B92=0,"",'Datos a presupuestar'!B92)</f>
        <v>CONVENIOS CON EL DEPARTAMENTO LIGADOS A LA VENTA DE SERVICIOS</v>
      </c>
      <c r="C92" s="504">
        <f>+'Datos a presupuestar'!C92</f>
        <v>0</v>
      </c>
      <c r="D92" s="16"/>
    </row>
    <row r="93" spans="1:4" s="231" customFormat="1" ht="30">
      <c r="A93" s="507">
        <f>+IF('Datos a presupuestar'!A93=0,"",'Datos a presupuestar'!A93)</f>
        <v>1130205</v>
      </c>
      <c r="B93" s="244" t="str">
        <f>+IF('Datos a presupuestar'!B93=0,"",'Datos a presupuestar'!B93)</f>
        <v>CONVENIOS CON EL MUNICIPIO LIGADOS A LA VENTA DE SERVICIOS</v>
      </c>
      <c r="C93" s="504">
        <f>+'Datos a presupuestar'!C93</f>
        <v>0</v>
      </c>
      <c r="D93" s="230"/>
    </row>
    <row r="94" spans="1:4" s="231" customFormat="1" ht="15.75">
      <c r="A94" s="507">
        <f>+IF('Datos a presupuestar'!A94=0,"",'Datos a presupuestar'!A94)</f>
        <v>1130206</v>
      </c>
      <c r="B94" s="244" t="str">
        <f>+IF('Datos a presupuestar'!B94=0,"",'Datos a presupuestar'!B94)</f>
        <v>OTROS CONVENIOS </v>
      </c>
      <c r="C94" s="504">
        <f>+'Datos a presupuestar'!C94</f>
        <v>0</v>
      </c>
      <c r="D94" s="230"/>
    </row>
    <row r="95" spans="1:4" s="231" customFormat="1" ht="15.75">
      <c r="A95" s="508">
        <f>+IF('Datos a presupuestar'!A95=0,"",'Datos a presupuestar'!A95)</f>
        <v>1130207</v>
      </c>
      <c r="B95" s="452" t="str">
        <f>+IF('Datos a presupuestar'!B95=0,"",'Datos a presupuestar'!B95)</f>
        <v>Vigencia Anterior</v>
      </c>
      <c r="C95" s="504">
        <f>+'Datos a presupuestar'!C95</f>
        <v>0</v>
      </c>
      <c r="D95" s="230"/>
    </row>
    <row r="96" spans="1:4" s="370" customFormat="1" ht="15.75">
      <c r="A96" s="508">
        <f>+IF('Datos a presupuestar'!A96=0,"",'Datos a presupuestar'!A96)</f>
      </c>
      <c r="B96" s="452">
        <f>+IF('Datos a presupuestar'!B96=0,"",'Datos a presupuestar'!B96)</f>
      </c>
      <c r="C96" s="504"/>
      <c r="D96" s="369"/>
    </row>
    <row r="97" spans="1:4" s="370" customFormat="1" ht="15.75">
      <c r="A97" s="505">
        <f>+IF('Datos a presupuestar'!A97=0,"",'Datos a presupuestar'!A97)</f>
        <v>11303</v>
      </c>
      <c r="B97" s="450" t="str">
        <f>+IF('Datos a presupuestar'!B97=0,"",'Datos a presupuestar'!B97)</f>
        <v>APORTES (No ligados a la venta de servicios de salud)</v>
      </c>
      <c r="C97" s="506">
        <f>+SUM(C98:C105)</f>
        <v>0</v>
      </c>
      <c r="D97" s="369"/>
    </row>
    <row r="98" spans="1:4" s="370" customFormat="1" ht="15.75">
      <c r="A98" s="507" t="str">
        <f>+IF('Datos a presupuestar'!A98=0,"",'Datos a presupuestar'!A98)</f>
        <v>11303-1</v>
      </c>
      <c r="B98" s="244" t="str">
        <f>+IF('Datos a presupuestar'!B98=0,"",'Datos a presupuestar'!B98)</f>
        <v>NACION</v>
      </c>
      <c r="C98" s="504">
        <f>+'Datos a presupuestar'!C98</f>
        <v>0</v>
      </c>
      <c r="D98" s="369"/>
    </row>
    <row r="99" spans="1:4" s="360" customFormat="1" ht="15">
      <c r="A99" s="507" t="str">
        <f>+IF('Datos a presupuestar'!A99=0,"",'Datos a presupuestar'!A99)</f>
        <v>11303-2</v>
      </c>
      <c r="B99" s="244" t="str">
        <f>+IF('Datos a presupuestar'!B99=0,"",'Datos a presupuestar'!B99)</f>
        <v>DEPARTAMENTO</v>
      </c>
      <c r="C99" s="504">
        <f>+'Datos a presupuestar'!C99</f>
        <v>0</v>
      </c>
      <c r="D99" s="358"/>
    </row>
    <row r="100" spans="1:5" ht="15">
      <c r="A100" s="507" t="str">
        <f>+IF('Datos a presupuestar'!A100=0,"",'Datos a presupuestar'!A100)</f>
        <v>11303-3</v>
      </c>
      <c r="B100" s="244" t="str">
        <f>+IF('Datos a presupuestar'!B100=0,"",'Datos a presupuestar'!B100)</f>
        <v>MUNICIPIO</v>
      </c>
      <c r="C100" s="504">
        <f>+'Datos a presupuestar'!C100</f>
        <v>0</v>
      </c>
      <c r="D100" s="229"/>
      <c r="E100" s="333"/>
    </row>
    <row r="101" spans="1:5" ht="15">
      <c r="A101" s="507" t="str">
        <f>+IF('Datos a presupuestar'!A101=0,"",'Datos a presupuestar'!A101)</f>
        <v>11303-4</v>
      </c>
      <c r="B101" s="244" t="str">
        <f>+IF('Datos a presupuestar'!B101=0,"",'Datos a presupuestar'!B101)</f>
        <v>CONVENIOS (EMPRESTITO)</v>
      </c>
      <c r="C101" s="504">
        <f>+'Datos a presupuestar'!C101</f>
        <v>0</v>
      </c>
      <c r="D101" s="229"/>
      <c r="E101" s="333"/>
    </row>
    <row r="102" spans="1:4" ht="15">
      <c r="A102" s="507" t="str">
        <f>+IF('Datos a presupuestar'!A102=0,"",'Datos a presupuestar'!A102)</f>
        <v>11303-5</v>
      </c>
      <c r="B102" s="244" t="str">
        <f>+IF('Datos a presupuestar'!B102=0,"",'Datos a presupuestar'!B102)</f>
        <v>APORTES PATRONALES - MUNICIPIO / DEPARTAMENTO</v>
      </c>
      <c r="C102" s="504">
        <f>+'Datos a presupuestar'!C102</f>
        <v>0</v>
      </c>
      <c r="D102" s="229"/>
    </row>
    <row r="103" spans="1:4" ht="15">
      <c r="A103" s="507" t="str">
        <f>+IF('Datos a presupuestar'!A103=0,"",'Datos a presupuestar'!A103)</f>
        <v>11303-6</v>
      </c>
      <c r="B103" s="244" t="str">
        <f>+IF('Datos a presupuestar'!B103=0,"",'Datos a presupuestar'!B103)</f>
        <v>RECURSOS PARA PROGRAMA DE SANEAMIENTO FINANCIERO</v>
      </c>
      <c r="C103" s="504">
        <f>+'Datos a presupuestar'!C103</f>
        <v>0</v>
      </c>
      <c r="D103" s="229"/>
    </row>
    <row r="104" spans="1:4" ht="15">
      <c r="A104" s="507" t="str">
        <f>+IF('Datos a presupuestar'!A104=0,"",'Datos a presupuestar'!A104)</f>
        <v>11303-7</v>
      </c>
      <c r="B104" s="244">
        <f>+IF('Datos a presupuestar'!B104=0,"",'Datos a presupuestar'!B104)</f>
      </c>
      <c r="C104" s="504">
        <f>+'Datos a presupuestar'!C104</f>
        <v>0</v>
      </c>
      <c r="D104" s="229"/>
    </row>
    <row r="105" spans="1:4" s="236" customFormat="1" ht="15">
      <c r="A105" s="508" t="str">
        <f>+IF('Datos a presupuestar'!A105=0,"",'Datos a presupuestar'!A105)</f>
        <v>11303-8</v>
      </c>
      <c r="B105" s="455" t="str">
        <f>+IF('Datos a presupuestar'!B105=0,"",'Datos a presupuestar'!B105)</f>
        <v>Vigencia Anterior</v>
      </c>
      <c r="C105" s="504">
        <f>+'Datos a presupuestar'!C105</f>
        <v>0</v>
      </c>
      <c r="D105" s="229"/>
    </row>
    <row r="106" spans="1:4" s="236" customFormat="1" ht="15">
      <c r="A106" s="508">
        <f>+IF('Datos a presupuestar'!A106=0,"",'Datos a presupuestar'!A106)</f>
      </c>
      <c r="B106" s="452">
        <f>+IF('Datos a presupuestar'!B106=0,"",'Datos a presupuestar'!B106)</f>
      </c>
      <c r="C106" s="504"/>
      <c r="D106" s="229"/>
    </row>
    <row r="107" spans="1:4" s="236" customFormat="1" ht="15.75">
      <c r="A107" s="505">
        <f>+IF('Datos a presupuestar'!A107=0,"",'Datos a presupuestar'!A107)</f>
        <v>11304</v>
      </c>
      <c r="B107" s="450" t="str">
        <f>+IF('Datos a presupuestar'!B107=0,"",'Datos a presupuestar'!B107)</f>
        <v>Otros ingresos corrientes</v>
      </c>
      <c r="C107" s="506">
        <f>+SUM(C108:C114)</f>
        <v>1635891400</v>
      </c>
      <c r="D107" s="229"/>
    </row>
    <row r="108" spans="1:4" s="236" customFormat="1" ht="30">
      <c r="A108" s="507" t="str">
        <f>+IF('Datos a presupuestar'!A108=0,"",'Datos a presupuestar'!A108)</f>
        <v>11304-1</v>
      </c>
      <c r="B108" s="244" t="str">
        <f>+IF('Datos a presupuestar'!B108=0,"",'Datos a presupuestar'!B108)</f>
        <v>ARRENDAMIENTO Y ALQUILER DE BIENES MUEBLES E INMUEBLES</v>
      </c>
      <c r="C108" s="504">
        <f>+'Datos a presupuestar'!C108</f>
        <v>860825680</v>
      </c>
      <c r="D108" s="229"/>
    </row>
    <row r="109" spans="1:4" s="236" customFormat="1" ht="15" customHeight="1">
      <c r="A109" s="507" t="str">
        <f>+IF('Datos a presupuestar'!A109=0,"",'Datos a presupuestar'!A109)</f>
        <v>11304-2</v>
      </c>
      <c r="B109" s="343" t="str">
        <f>+IF('Datos a presupuestar'!B109=0,"",'Datos a presupuestar'!B109)</f>
        <v>COMERCIALIZACIÓN DE MERCANCÍAS</v>
      </c>
      <c r="C109" s="504">
        <f>+'Datos a presupuestar'!C109</f>
        <v>0</v>
      </c>
      <c r="D109" s="229"/>
    </row>
    <row r="110" spans="1:4" s="236" customFormat="1" ht="15">
      <c r="A110" s="507" t="str">
        <f>+IF('Datos a presupuestar'!A110=0,"",'Datos a presupuestar'!A110)</f>
        <v>11304-3</v>
      </c>
      <c r="B110" s="244" t="str">
        <f>+IF('Datos a presupuestar'!B110=0,"",'Datos a presupuestar'!B110)</f>
        <v>Bienestar Social</v>
      </c>
      <c r="C110" s="504">
        <f>+'Datos a presupuestar'!C110</f>
        <v>0</v>
      </c>
      <c r="D110" s="229"/>
    </row>
    <row r="111" spans="1:4" s="236" customFormat="1" ht="15">
      <c r="A111" s="507" t="str">
        <f>+IF('Datos a presupuestar'!A111=0,"",'Datos a presupuestar'!A111)</f>
        <v>11304-4</v>
      </c>
      <c r="B111" s="244" t="str">
        <f>+IF('Datos a presupuestar'!B111=0,"",'Datos a presupuestar'!B111)</f>
        <v>Fondo de la Vivienda</v>
      </c>
      <c r="C111" s="504">
        <f>+'Datos a presupuestar'!C111</f>
        <v>0</v>
      </c>
      <c r="D111" s="229"/>
    </row>
    <row r="112" spans="1:4" s="236" customFormat="1" ht="15">
      <c r="A112" s="507" t="str">
        <f>+IF('Datos a presupuestar'!A112=0,"",'Datos a presupuestar'!A112)</f>
        <v>11304-5</v>
      </c>
      <c r="B112" s="244" t="str">
        <f>+IF('Datos a presupuestar'!B112=0,"",'Datos a presupuestar'!B112)</f>
        <v>Aprovechamientos </v>
      </c>
      <c r="C112" s="504">
        <f>+'Datos a presupuestar'!C112</f>
        <v>0</v>
      </c>
      <c r="D112" s="229"/>
    </row>
    <row r="113" spans="1:4" s="236" customFormat="1" ht="12" customHeight="1">
      <c r="A113" s="507" t="str">
        <f>+IF('Datos a presupuestar'!A113=0,"",'Datos a presupuestar'!A113)</f>
        <v>11304-6</v>
      </c>
      <c r="B113" s="244" t="str">
        <f>+IF('Datos a presupuestar'!B113=0,"",'Datos a presupuestar'!B113)</f>
        <v>Otros</v>
      </c>
      <c r="C113" s="504">
        <f>+'Datos a presupuestar'!C113</f>
        <v>775065720</v>
      </c>
      <c r="D113" s="229"/>
    </row>
    <row r="114" spans="1:4" s="236" customFormat="1" ht="15">
      <c r="A114" s="508" t="str">
        <f>+IF('Datos a presupuestar'!A114=0,"",'Datos a presupuestar'!A114)</f>
        <v>11304-7</v>
      </c>
      <c r="B114" s="455" t="str">
        <f>+IF('Datos a presupuestar'!B114=0,"",'Datos a presupuestar'!B114)</f>
        <v>Vigencia Anterior</v>
      </c>
      <c r="C114" s="504">
        <f>+'Datos a presupuestar'!C114</f>
        <v>0</v>
      </c>
      <c r="D114" s="229"/>
    </row>
    <row r="115" spans="1:4" s="236" customFormat="1" ht="15">
      <c r="A115" s="509">
        <f>+IF('Datos a presupuestar'!A115=0,"",'Datos a presupuestar'!A115)</f>
      </c>
      <c r="B115" s="476">
        <f>+IF('Datos a presupuestar'!B115=0,"",'Datos a presupuestar'!B115)</f>
      </c>
      <c r="C115" s="504"/>
      <c r="D115" s="229"/>
    </row>
    <row r="116" spans="1:5" ht="18">
      <c r="A116" s="536">
        <f>+IF('Datos a presupuestar'!A116=0,"",'Datos a presupuestar'!A116)</f>
        <v>2000</v>
      </c>
      <c r="B116" s="537" t="str">
        <f>+IF('Datos a presupuestar'!B116=0,"",'Datos a presupuestar'!B116)</f>
        <v>INGRESOS DE CAPITAL</v>
      </c>
      <c r="C116" s="511">
        <f>+SUM(C118:C126)</f>
        <v>14599786768.188507</v>
      </c>
      <c r="D116" s="229"/>
      <c r="E116" s="236"/>
    </row>
    <row r="117" spans="1:5" ht="12.75">
      <c r="A117" s="512">
        <f>+IF('Datos a presupuestar'!A117=0,"",'Datos a presupuestar'!A117)</f>
      </c>
      <c r="B117" s="478">
        <f>+IF('Datos a presupuestar'!B117=0,"",'Datos a presupuestar'!B117)</f>
      </c>
      <c r="C117" s="513"/>
      <c r="D117" s="229"/>
      <c r="E117" s="236"/>
    </row>
    <row r="118" spans="1:5" ht="15">
      <c r="A118" s="514">
        <f>+IF('Datos a presupuestar'!A118=0,"",'Datos a presupuestar'!A118)</f>
        <v>2100</v>
      </c>
      <c r="B118" s="244" t="str">
        <f>+IF('Datos a presupuestar'!B118=0,"",'Datos a presupuestar'!B118)</f>
        <v>CRÉDITO INTERNO</v>
      </c>
      <c r="C118" s="504">
        <f>+'Datos a presupuestar'!C118</f>
        <v>0</v>
      </c>
      <c r="D118" s="229"/>
      <c r="E118" s="236"/>
    </row>
    <row r="119" spans="1:5" ht="15">
      <c r="A119" s="515" t="str">
        <f>+IF('Datos a presupuestar'!A119=0,"",'Datos a presupuestar'!A119)</f>
        <v>2100-1</v>
      </c>
      <c r="B119" s="452" t="str">
        <f>+IF('Datos a presupuestar'!B119=0,"",'Datos a presupuestar'!B119)</f>
        <v>Vigencia Anterior</v>
      </c>
      <c r="C119" s="504">
        <f>+'Datos a presupuestar'!C119</f>
        <v>0</v>
      </c>
      <c r="D119" s="229"/>
      <c r="E119" s="236"/>
    </row>
    <row r="120" spans="1:5" ht="15">
      <c r="A120" s="514">
        <f>+IF('Datos a presupuestar'!A120=0,"",'Datos a presupuestar'!A120)</f>
        <v>2200</v>
      </c>
      <c r="B120" s="244" t="str">
        <f>+IF('Datos a presupuestar'!B120=0,"",'Datos a presupuestar'!B120)</f>
        <v>CRÉDITO EXTERNO</v>
      </c>
      <c r="C120" s="504">
        <f>+'Datos a presupuestar'!C120</f>
        <v>0</v>
      </c>
      <c r="D120" s="229"/>
      <c r="E120" s="236"/>
    </row>
    <row r="121" spans="1:5" ht="15">
      <c r="A121" s="515" t="str">
        <f>+IF('Datos a presupuestar'!A121=0,"",'Datos a presupuestar'!A121)</f>
        <v>2200-1</v>
      </c>
      <c r="B121" s="452" t="str">
        <f>+IF('Datos a presupuestar'!B121=0,"",'Datos a presupuestar'!B121)</f>
        <v>Vigencia Anterior</v>
      </c>
      <c r="C121" s="504">
        <f>+'Datos a presupuestar'!C121</f>
        <v>0</v>
      </c>
      <c r="D121" s="229"/>
      <c r="E121" s="236"/>
    </row>
    <row r="122" spans="1:5" ht="15">
      <c r="A122" s="514">
        <f>+IF('Datos a presupuestar'!A122=0,"",'Datos a presupuestar'!A122)</f>
        <v>2300</v>
      </c>
      <c r="B122" s="244" t="str">
        <f>+IF('Datos a presupuestar'!B122=0,"",'Datos a presupuestar'!B122)</f>
        <v>RENDIMIENTOS FINANCIEROS</v>
      </c>
      <c r="C122" s="504">
        <f>+'Datos a presupuestar'!C122</f>
        <v>3226080</v>
      </c>
      <c r="D122" s="229"/>
      <c r="E122" s="236"/>
    </row>
    <row r="123" spans="1:5" ht="15">
      <c r="A123" s="514">
        <f>+IF('Datos a presupuestar'!A123=0,"",'Datos a presupuestar'!A123)</f>
        <v>2400</v>
      </c>
      <c r="B123" s="244" t="str">
        <f>+IF('Datos a presupuestar'!B123=0,"",'Datos a presupuestar'!B123)</f>
        <v>VENTA DE ACTIVOS</v>
      </c>
      <c r="C123" s="504">
        <f>+'Datos a presupuestar'!C123</f>
        <v>0</v>
      </c>
      <c r="D123" s="229"/>
      <c r="E123" s="236"/>
    </row>
    <row r="124" spans="1:5" ht="15">
      <c r="A124" s="514">
        <f>+IF('Datos a presupuestar'!A124=0,"",'Datos a presupuestar'!A124)</f>
        <v>2500</v>
      </c>
      <c r="B124" s="244" t="str">
        <f>+IF('Datos a presupuestar'!B124=0,"",'Datos a presupuestar'!B124)</f>
        <v>DONACIONES</v>
      </c>
      <c r="C124" s="504">
        <f>+'Datos a presupuestar'!C124</f>
        <v>0</v>
      </c>
      <c r="D124" s="229"/>
      <c r="E124" s="236"/>
    </row>
    <row r="125" spans="1:5" ht="15">
      <c r="A125" s="514">
        <f>+IF('Datos a presupuestar'!A125=0,"",'Datos a presupuestar'!A125)</f>
        <v>2600</v>
      </c>
      <c r="B125" s="244" t="str">
        <f>+IF('Datos a presupuestar'!B125=0,"",'Datos a presupuestar'!B125)</f>
        <v>RECUPERACIÓN DE CARTERA, (AÑOS 2019 Y ANTERIORES )</v>
      </c>
      <c r="C125" s="504">
        <f>+'Datos a presupuestar'!C125</f>
        <v>14596560688.188507</v>
      </c>
      <c r="D125" s="229"/>
      <c r="E125" s="236"/>
    </row>
    <row r="126" spans="1:5" ht="15">
      <c r="A126" s="514">
        <f>+IF('Datos a presupuestar'!A126=0,"",'Datos a presupuestar'!A126)</f>
        <v>2700</v>
      </c>
      <c r="B126" s="244" t="str">
        <f>+IF('Datos a presupuestar'!B126=0,"",'Datos a presupuestar'!B126)</f>
        <v>OTROS INGRESOS DE CAPITAL</v>
      </c>
      <c r="C126" s="504">
        <f>+'Datos a presupuestar'!C126</f>
        <v>0</v>
      </c>
      <c r="D126" s="229"/>
      <c r="E126" s="236"/>
    </row>
    <row r="127" spans="1:5" ht="15">
      <c r="A127" s="516">
        <f>+IF('Datos a presupuestar'!A127=0,"",'Datos a presupuestar'!A127)</f>
      </c>
      <c r="B127" s="451">
        <f>+IF('Datos a presupuestar'!B127=0,"",'Datos a presupuestar'!B127)</f>
      </c>
      <c r="C127" s="504">
        <f>+'Datos a presupuestar'!C127</f>
        <v>0</v>
      </c>
      <c r="D127" s="229"/>
      <c r="E127" s="236"/>
    </row>
    <row r="128" spans="1:5" ht="15">
      <c r="A128" s="516">
        <f>+IF('Datos a presupuestar'!A128=0,"",'Datos a presupuestar'!A128)</f>
      </c>
      <c r="B128" s="451">
        <f>+IF('Datos a presupuestar'!B128=0,"",'Datos a presupuestar'!B128)</f>
      </c>
      <c r="C128" s="504">
        <f>+'Datos a presupuestar'!C128</f>
        <v>0</v>
      </c>
      <c r="D128" s="229"/>
      <c r="E128" s="236"/>
    </row>
    <row r="129" spans="1:4" s="236" customFormat="1" ht="15" customHeight="1">
      <c r="A129" s="509">
        <f>+IF('Datos a presupuestar'!A129=0,"",'Datos a presupuestar'!A129)</f>
      </c>
      <c r="B129" s="476">
        <f>+IF('Datos a presupuestar'!B129=0,"",'Datos a presupuestar'!B129)</f>
      </c>
      <c r="C129" s="517"/>
      <c r="D129" s="229"/>
    </row>
    <row r="130" spans="1:4" ht="18">
      <c r="A130" s="518" t="s">
        <v>146</v>
      </c>
      <c r="B130" s="450"/>
      <c r="C130" s="519">
        <f>C8-C131</f>
        <v>34557982540</v>
      </c>
      <c r="D130" s="229"/>
    </row>
    <row r="131" spans="1:4" ht="18">
      <c r="A131" s="520" t="s">
        <v>600</v>
      </c>
      <c r="B131" s="450"/>
      <c r="C131" s="519">
        <f>SUMIF(B8:B124,A131,C8:C124)+C125</f>
        <v>14596560688.188507</v>
      </c>
      <c r="D131" s="229"/>
    </row>
    <row r="132" spans="1:4" ht="18.75" thickBot="1">
      <c r="A132" s="550" t="s">
        <v>145</v>
      </c>
      <c r="B132" s="551"/>
      <c r="C132" s="552">
        <f>C131+C130</f>
        <v>49154543228.18851</v>
      </c>
      <c r="D132" s="229"/>
    </row>
    <row r="133" spans="1:4" ht="15.75">
      <c r="A133" s="346"/>
      <c r="B133" s="347"/>
      <c r="C133" s="348"/>
      <c r="D133" s="229"/>
    </row>
    <row r="134" spans="1:4" ht="15.75">
      <c r="A134" s="346"/>
      <c r="B134" s="347"/>
      <c r="C134" s="348"/>
      <c r="D134" s="229"/>
    </row>
    <row r="135" spans="1:4" ht="16.5" thickBot="1">
      <c r="A135" s="346"/>
      <c r="B135" s="347"/>
      <c r="C135" s="348"/>
      <c r="D135" s="229"/>
    </row>
    <row r="136" spans="1:4" ht="16.5">
      <c r="A136" s="754" t="s">
        <v>355</v>
      </c>
      <c r="B136" s="755"/>
      <c r="C136" s="539" t="s">
        <v>356</v>
      </c>
      <c r="D136" s="229"/>
    </row>
    <row r="137" spans="1:4" ht="26.25">
      <c r="A137" s="756" t="s">
        <v>16</v>
      </c>
      <c r="B137" s="757"/>
      <c r="C137" s="521">
        <f>+'Información general'!$C$5</f>
        <v>2021</v>
      </c>
      <c r="D137" s="229"/>
    </row>
    <row r="138" spans="1:4" ht="18">
      <c r="A138" s="737" t="str">
        <f>+CONCATENATE('Información general'!$B$3,"  -  ",'Información general'!$B$4)</f>
        <v>ITAGUI  -  ESE HOSPITAL SAN RAFAEL DE ITAGUI</v>
      </c>
      <c r="B138" s="738"/>
      <c r="C138" s="739"/>
      <c r="D138" s="229"/>
    </row>
    <row r="139" spans="1:4" ht="12.75">
      <c r="A139" s="512"/>
      <c r="B139" s="477"/>
      <c r="C139" s="513"/>
      <c r="D139" s="229"/>
    </row>
    <row r="140" spans="1:4" ht="23.25">
      <c r="A140" s="750" t="s">
        <v>360</v>
      </c>
      <c r="B140" s="751"/>
      <c r="C140" s="752"/>
      <c r="D140" s="229"/>
    </row>
    <row r="141" spans="1:4" ht="12.75">
      <c r="A141" s="522" t="s">
        <v>17</v>
      </c>
      <c r="B141" s="479" t="s">
        <v>372</v>
      </c>
      <c r="C141" s="523" t="s">
        <v>357</v>
      </c>
      <c r="D141" s="229"/>
    </row>
    <row r="142" spans="1:12" s="229" customFormat="1" ht="12.75">
      <c r="A142" s="512"/>
      <c r="B142" s="477"/>
      <c r="C142" s="513"/>
      <c r="E142" s="228"/>
      <c r="F142" s="228"/>
      <c r="G142" s="228"/>
      <c r="H142" s="228"/>
      <c r="I142" s="228"/>
      <c r="J142" s="228"/>
      <c r="K142" s="228"/>
      <c r="L142" s="228"/>
    </row>
    <row r="143" spans="1:4" ht="23.25">
      <c r="A143" s="524">
        <f>+IF('Datos a presupuestar'!A143=0,"",'Datos a presupuestar'!A143)</f>
      </c>
      <c r="B143" s="224" t="str">
        <f>+IF('Datos a presupuestar'!B143=0,"",'Datos a presupuestar'!B143)</f>
        <v>GASTOS</v>
      </c>
      <c r="C143" s="525">
        <f>C145+C324+C357+C369+C391</f>
        <v>49154543228</v>
      </c>
      <c r="D143" s="229"/>
    </row>
    <row r="144" spans="1:6" s="229" customFormat="1" ht="12.75">
      <c r="A144" s="512">
        <f>+IF('Datos a presupuestar'!A144=0,"",'Datos a presupuestar'!A144)</f>
      </c>
      <c r="B144" s="477">
        <f>+IF('Datos a presupuestar'!B144=0,"",'Datos a presupuestar'!B144)</f>
      </c>
      <c r="C144" s="513"/>
      <c r="E144" s="333"/>
      <c r="F144" s="335"/>
    </row>
    <row r="145" spans="1:4" ht="18">
      <c r="A145" s="510" t="str">
        <f>+IF('Datos a presupuestar'!A145=0,"",'Datos a presupuestar'!A145)</f>
        <v>A</v>
      </c>
      <c r="B145" s="480" t="str">
        <f>+IF('Datos a presupuestar'!B145=0,"",'Datos a presupuestar'!B145)</f>
        <v>GASTOS DE FUNCIONAMIENTO</v>
      </c>
      <c r="C145" s="511">
        <f>C147+C242+C303</f>
        <v>37442444169</v>
      </c>
      <c r="D145" s="229"/>
    </row>
    <row r="146" spans="1:5" ht="12.75">
      <c r="A146" s="512">
        <f>+IF('Datos a presupuestar'!A146=0,"",'Datos a presupuestar'!A146)</f>
      </c>
      <c r="B146" s="477">
        <f>+IF('Datos a presupuestar'!B146=0,"",'Datos a presupuestar'!B146)</f>
      </c>
      <c r="C146" s="513"/>
      <c r="D146" s="229"/>
      <c r="E146" s="333"/>
    </row>
    <row r="147" spans="1:5" s="248" customFormat="1" ht="16.5">
      <c r="A147" s="526">
        <f>+IF('Datos a presupuestar'!A147=0,"",'Datos a presupuestar'!A147)</f>
        <v>1000000</v>
      </c>
      <c r="B147" s="245" t="str">
        <f>+IF('Datos a presupuestar'!B147=0,"",'Datos a presupuestar'!B147)</f>
        <v>GASTOS DE PERSONAL</v>
      </c>
      <c r="C147" s="519">
        <f>C149+C197</f>
        <v>29602605153</v>
      </c>
      <c r="D147" s="246"/>
      <c r="E147" s="349"/>
    </row>
    <row r="148" spans="1:4" ht="12.75">
      <c r="A148" s="512">
        <f>+IF('Datos a presupuestar'!A148=0,"",'Datos a presupuestar'!A148)</f>
      </c>
      <c r="B148" s="477">
        <f>+IF('Datos a presupuestar'!B148=0,"",'Datos a presupuestar'!B148)</f>
      </c>
      <c r="C148" s="513"/>
      <c r="D148" s="229"/>
    </row>
    <row r="149" spans="1:4" ht="15.75">
      <c r="A149" s="505">
        <f>+IF('Datos a presupuestar'!A149=0,"",'Datos a presupuestar'!A149)</f>
        <v>1010000</v>
      </c>
      <c r="B149" s="218" t="str">
        <f>+IF('Datos a presupuestar'!B149=0,"",'Datos a presupuestar'!B149)</f>
        <v>Gastos de Administración</v>
      </c>
      <c r="C149" s="506">
        <f>C151+C169+C177+C191</f>
        <v>5625388527</v>
      </c>
      <c r="D149" s="229"/>
    </row>
    <row r="150" spans="1:4" ht="12.75">
      <c r="A150" s="512">
        <f>+IF('Datos a presupuestar'!A150=0,"",'Datos a presupuestar'!A150)</f>
      </c>
      <c r="B150" s="477">
        <f>+IF('Datos a presupuestar'!B150=0,"",'Datos a presupuestar'!B150)</f>
      </c>
      <c r="C150" s="513"/>
      <c r="D150" s="229"/>
    </row>
    <row r="151" spans="1:4" s="351" customFormat="1" ht="15">
      <c r="A151" s="527">
        <f>+IF('Datos a presupuestar'!A151=0,"",'Datos a presupuestar'!A151)</f>
        <v>1010100</v>
      </c>
      <c r="B151" s="249" t="str">
        <f>+IF('Datos a presupuestar'!B151=0,"",'Datos a presupuestar'!B151)</f>
        <v>Servicios Personales Asociados a Nómina</v>
      </c>
      <c r="C151" s="528">
        <f>SUM(C152:C155)+C167</f>
        <v>779243137</v>
      </c>
      <c r="D151" s="350"/>
    </row>
    <row r="152" spans="1:3" ht="14.25">
      <c r="A152" s="529">
        <f>+IF('Datos a presupuestar'!A152=0,"",'Datos a presupuestar'!A152)</f>
        <v>1010101</v>
      </c>
      <c r="B152" s="242" t="str">
        <f>+IF('Datos a presupuestar'!B152=0,"",'Datos a presupuestar'!B152)</f>
        <v>Sueldos del Personal de nómina</v>
      </c>
      <c r="C152" s="530">
        <f>+'Datos a presupuestar'!C152-'Datos de desfinanciación'!C17</f>
        <v>641003551</v>
      </c>
    </row>
    <row r="153" spans="1:3" ht="14.25">
      <c r="A153" s="529">
        <f>+IF('Datos a presupuestar'!A153=0,"",'Datos a presupuestar'!A153)</f>
        <v>1010102</v>
      </c>
      <c r="B153" s="242" t="str">
        <f>+IF('Datos a presupuestar'!B153=0,"",'Datos a presupuestar'!B153)</f>
        <v>Horas Extras,Dominic.,Festivos y Rec. Nocturnos</v>
      </c>
      <c r="C153" s="530">
        <f>+'Datos a presupuestar'!C153-'Datos de desfinanciación'!C18</f>
        <v>0</v>
      </c>
    </row>
    <row r="154" spans="1:3" ht="14.25">
      <c r="A154" s="529">
        <f>+IF('Datos a presupuestar'!A154=0,"",'Datos a presupuestar'!A154)</f>
        <v>1010103</v>
      </c>
      <c r="B154" s="242" t="str">
        <f>+IF('Datos a presupuestar'!B154=0,"",'Datos a presupuestar'!B154)</f>
        <v>Prima Técnica</v>
      </c>
      <c r="C154" s="530">
        <f>+'Datos a presupuestar'!C154-'Datos de desfinanciación'!C19</f>
        <v>0</v>
      </c>
    </row>
    <row r="155" spans="1:12" s="352" customFormat="1" ht="14.25">
      <c r="A155" s="529">
        <f>+IF('Datos a presupuestar'!A155=0,"",'Datos a presupuestar'!A155)</f>
        <v>1010104</v>
      </c>
      <c r="B155" s="242" t="str">
        <f>+IF('Datos a presupuestar'!B155=0,"",'Datos a presupuestar'!B155)</f>
        <v>Otros</v>
      </c>
      <c r="C155" s="531">
        <f>SUM(C156:C166)</f>
        <v>138239586</v>
      </c>
      <c r="D155" s="229"/>
      <c r="E155" s="228"/>
      <c r="F155" s="228"/>
      <c r="G155" s="228"/>
      <c r="H155" s="228"/>
      <c r="I155" s="228"/>
      <c r="J155" s="228"/>
      <c r="K155" s="228"/>
      <c r="L155" s="228"/>
    </row>
    <row r="156" spans="1:12" s="352" customFormat="1" ht="14.25">
      <c r="A156" s="532" t="str">
        <f>+IF('Datos a presupuestar'!A156=0,"",'Datos a presupuestar'!A156)</f>
        <v>1010104-1</v>
      </c>
      <c r="B156" s="251" t="str">
        <f>+IF('Datos a presupuestar'!B156=0,"",'Datos a presupuestar'!B156)</f>
        <v>Prima de Navidad </v>
      </c>
      <c r="C156" s="530">
        <f>+'Datos a presupuestar'!C156-'Datos de desfinanciación'!C21</f>
        <v>58347750</v>
      </c>
      <c r="D156" s="229"/>
      <c r="E156" s="228"/>
      <c r="F156" s="228"/>
      <c r="G156" s="228"/>
      <c r="H156" s="228"/>
      <c r="I156" s="228"/>
      <c r="J156" s="228"/>
      <c r="K156" s="228"/>
      <c r="L156" s="228"/>
    </row>
    <row r="157" spans="1:12" s="352" customFormat="1" ht="14.25">
      <c r="A157" s="532" t="str">
        <f>+IF('Datos a presupuestar'!A157=0,"",'Datos a presupuestar'!A157)</f>
        <v>1010104-2</v>
      </c>
      <c r="B157" s="251" t="str">
        <f>+IF('Datos a presupuestar'!B157=0,"",'Datos a presupuestar'!B157)</f>
        <v>Prima de Vacaciones</v>
      </c>
      <c r="C157" s="530">
        <f>+'Datos a presupuestar'!C157-'Datos de desfinanciación'!C22</f>
        <v>29869214</v>
      </c>
      <c r="D157" s="229"/>
      <c r="E157" s="228"/>
      <c r="F157" s="228"/>
      <c r="G157" s="228"/>
      <c r="H157" s="228"/>
      <c r="I157" s="228"/>
      <c r="J157" s="228"/>
      <c r="K157" s="228"/>
      <c r="L157" s="228"/>
    </row>
    <row r="158" spans="1:12" s="352" customFormat="1" ht="14.25">
      <c r="A158" s="532" t="str">
        <f>+IF('Datos a presupuestar'!A158=0,"",'Datos a presupuestar'!A158)</f>
        <v>1010104-3</v>
      </c>
      <c r="B158" s="251" t="str">
        <f>+IF('Datos a presupuestar'!B158=0,"",'Datos a presupuestar'!B158)</f>
        <v>Bonificación  por servicios prestados</v>
      </c>
      <c r="C158" s="530">
        <f>+'Datos a presupuestar'!C158-'Datos de desfinanciación'!C23</f>
        <v>18192604</v>
      </c>
      <c r="D158" s="229"/>
      <c r="E158" s="228"/>
      <c r="F158" s="228"/>
      <c r="G158" s="228"/>
      <c r="H158" s="228"/>
      <c r="I158" s="228"/>
      <c r="J158" s="228"/>
      <c r="K158" s="228"/>
      <c r="L158" s="228"/>
    </row>
    <row r="159" spans="1:12" s="352" customFormat="1" ht="14.25">
      <c r="A159" s="532" t="str">
        <f>+IF('Datos a presupuestar'!A159=0,"",'Datos a presupuestar'!A159)</f>
        <v>1010104-4</v>
      </c>
      <c r="B159" s="251" t="str">
        <f>+IF('Datos a presupuestar'!B159=0,"",'Datos a presupuestar'!B159)</f>
        <v>Prima de Servicios</v>
      </c>
      <c r="C159" s="530">
        <f>+'Datos a presupuestar'!C159-'Datos de desfinanciación'!C24</f>
        <v>27571584</v>
      </c>
      <c r="D159" s="229"/>
      <c r="E159" s="228"/>
      <c r="F159" s="228"/>
      <c r="G159" s="228"/>
      <c r="H159" s="228"/>
      <c r="I159" s="228"/>
      <c r="J159" s="228"/>
      <c r="K159" s="228"/>
      <c r="L159" s="228"/>
    </row>
    <row r="160" spans="1:12" s="352" customFormat="1" ht="14.25">
      <c r="A160" s="532" t="str">
        <f>+IF('Datos a presupuestar'!A160=0,"",'Datos a presupuestar'!A160)</f>
        <v>1010104-5</v>
      </c>
      <c r="B160" s="251" t="str">
        <f>+IF('Datos a presupuestar'!B160=0,"",'Datos a presupuestar'!B160)</f>
        <v>Bonificación Convencional</v>
      </c>
      <c r="C160" s="530">
        <f>+'Datos a presupuestar'!C160-'Datos de desfinanciación'!C25</f>
        <v>0</v>
      </c>
      <c r="D160" s="229"/>
      <c r="E160" s="228"/>
      <c r="F160" s="228"/>
      <c r="G160" s="228"/>
      <c r="H160" s="228"/>
      <c r="I160" s="228"/>
      <c r="J160" s="228"/>
      <c r="K160" s="228"/>
      <c r="L160" s="228"/>
    </row>
    <row r="161" spans="1:12" s="352" customFormat="1" ht="14.25">
      <c r="A161" s="532" t="str">
        <f>+IF('Datos a presupuestar'!A161=0,"",'Datos a presupuestar'!A161)</f>
        <v>1010104-6</v>
      </c>
      <c r="B161" s="251" t="str">
        <f>+IF('Datos a presupuestar'!B161=0,"",'Datos a presupuestar'!B161)</f>
        <v>Auxilio de Transporte</v>
      </c>
      <c r="C161" s="530">
        <f>+'Datos a presupuestar'!C161-'Datos de desfinanciación'!C26</f>
        <v>0</v>
      </c>
      <c r="D161" s="229"/>
      <c r="E161" s="228"/>
      <c r="F161" s="228"/>
      <c r="G161" s="228"/>
      <c r="H161" s="228"/>
      <c r="I161" s="228"/>
      <c r="J161" s="228"/>
      <c r="K161" s="228"/>
      <c r="L161" s="228"/>
    </row>
    <row r="162" spans="1:12" s="352" customFormat="1" ht="14.25">
      <c r="A162" s="532" t="str">
        <f>+IF('Datos a presupuestar'!A162=0,"",'Datos a presupuestar'!A162)</f>
        <v>1010104-7</v>
      </c>
      <c r="B162" s="251" t="str">
        <f>+IF('Datos a presupuestar'!B162=0,"",'Datos a presupuestar'!B162)</f>
        <v>Auxilio de Alimentación</v>
      </c>
      <c r="C162" s="530">
        <f>+'Datos a presupuestar'!C162-'Datos de desfinanciación'!C27</f>
        <v>793176</v>
      </c>
      <c r="D162" s="229"/>
      <c r="E162" s="228"/>
      <c r="F162" s="228"/>
      <c r="G162" s="228"/>
      <c r="H162" s="228"/>
      <c r="I162" s="228"/>
      <c r="J162" s="228"/>
      <c r="K162" s="228"/>
      <c r="L162" s="228"/>
    </row>
    <row r="163" spans="1:4" ht="14.25">
      <c r="A163" s="532" t="str">
        <f>+IF('Datos a presupuestar'!A163=0,"",'Datos a presupuestar'!A163)</f>
        <v>1010104-8</v>
      </c>
      <c r="B163" s="251" t="str">
        <f>+IF('Datos a presupuestar'!B163=0,"",'Datos a presupuestar'!B163)</f>
        <v>Gastos de Representación</v>
      </c>
      <c r="C163" s="530">
        <f>+'Datos a presupuestar'!C163-'Datos de desfinanciación'!C28</f>
        <v>0</v>
      </c>
      <c r="D163" s="229"/>
    </row>
    <row r="164" spans="1:4" ht="14.25">
      <c r="A164" s="532" t="str">
        <f>+IF('Datos a presupuestar'!A164=0,"",'Datos a presupuestar'!A164)</f>
        <v>1010104-9</v>
      </c>
      <c r="B164" s="251" t="str">
        <f>+IF('Datos a presupuestar'!B164=0,"",'Datos a presupuestar'!B164)</f>
        <v>Indemnizaciones por Vacaciones o Supresión de Cargos por Reestructuración</v>
      </c>
      <c r="C164" s="530">
        <f>+'Datos a presupuestar'!C164-'Datos de desfinanciación'!C29</f>
        <v>0</v>
      </c>
      <c r="D164" s="229"/>
    </row>
    <row r="165" spans="1:4" ht="14.25">
      <c r="A165" s="532" t="str">
        <f>+IF('Datos a presupuestar'!A165=0,"",'Datos a presupuestar'!A165)</f>
        <v>1010104-10</v>
      </c>
      <c r="B165" s="251" t="str">
        <f>+IF('Datos a presupuestar'!B165=0,"",'Datos a presupuestar'!B165)</f>
        <v>Bonificación Especial por Recreación</v>
      </c>
      <c r="C165" s="530">
        <f>+'Datos a presupuestar'!C165-'Datos de desfinanciación'!C30</f>
        <v>3465258</v>
      </c>
      <c r="D165" s="229"/>
    </row>
    <row r="166" spans="1:4" ht="14.25">
      <c r="A166" s="532" t="str">
        <f>+IF('Datos a presupuestar'!A166=0,"",'Datos a presupuestar'!A166)</f>
        <v>1010104-11</v>
      </c>
      <c r="B166" s="251">
        <f>+IF('Datos a presupuestar'!B166=0,"",'Datos a presupuestar'!B166)</f>
      </c>
      <c r="C166" s="530">
        <f>+'Datos a presupuestar'!C166-'Datos de desfinanciación'!C31</f>
        <v>0</v>
      </c>
      <c r="D166" s="229"/>
    </row>
    <row r="167" spans="1:4" ht="14.25">
      <c r="A167" s="534">
        <f>+IF('Datos a presupuestar'!A167=0,"",'Datos a presupuestar'!A167)</f>
        <v>1010199</v>
      </c>
      <c r="B167" s="250" t="str">
        <f>+IF('Datos a presupuestar'!B167=0,"",'Datos a presupuestar'!B167)</f>
        <v>Vigencias Anteriores</v>
      </c>
      <c r="C167" s="530">
        <f>+'Datos a presupuestar'!C167-'Datos de desfinanciación'!C32</f>
        <v>0</v>
      </c>
      <c r="D167" s="229"/>
    </row>
    <row r="168" spans="1:4" s="363" customFormat="1" ht="12.75">
      <c r="A168" s="512">
        <f>+IF('Datos a presupuestar'!A168=0,"",'Datos a presupuestar'!A168)</f>
      </c>
      <c r="B168" s="477">
        <f>+IF('Datos a presupuestar'!B168=0,"",'Datos a presupuestar'!B168)</f>
      </c>
      <c r="C168" s="513"/>
      <c r="D168" s="362"/>
    </row>
    <row r="169" spans="1:4" ht="15">
      <c r="A169" s="527">
        <f>+IF('Datos a presupuestar'!A169=0,"",'Datos a presupuestar'!A169)</f>
        <v>1010200</v>
      </c>
      <c r="B169" s="249" t="str">
        <f>+IF('Datos a presupuestar'!B169=0,"",'Datos a presupuestar'!B169)</f>
        <v>Servicios Personales Indirectos</v>
      </c>
      <c r="C169" s="528">
        <f>SUM(C170:C175)</f>
        <v>4584964461</v>
      </c>
      <c r="D169" s="229"/>
    </row>
    <row r="170" spans="1:4" s="351" customFormat="1" ht="15">
      <c r="A170" s="529" t="str">
        <f>+IF('Datos a presupuestar'!A170=0,"",'Datos a presupuestar'!A170)</f>
        <v>1010200-1</v>
      </c>
      <c r="B170" s="242" t="str">
        <f>+IF('Datos a presupuestar'!B170=0,"",'Datos a presupuestar'!B170)</f>
        <v>Remuneración por Servicios Técnicos</v>
      </c>
      <c r="C170" s="530">
        <f>+'Datos a presupuestar'!C170-'Datos de desfinanciación'!C35</f>
        <v>803200000</v>
      </c>
      <c r="D170" s="350"/>
    </row>
    <row r="171" spans="1:12" s="354" customFormat="1" ht="14.25">
      <c r="A171" s="529" t="str">
        <f>+IF('Datos a presupuestar'!A171=0,"",'Datos a presupuestar'!A171)</f>
        <v>1010200-2</v>
      </c>
      <c r="B171" s="242" t="str">
        <f>+IF('Datos a presupuestar'!B171=0,"",'Datos a presupuestar'!B171)</f>
        <v>Personal Supernumerario</v>
      </c>
      <c r="C171" s="530">
        <f>+'Datos a presupuestar'!C171-'Datos de desfinanciación'!C36</f>
        <v>0</v>
      </c>
      <c r="D171" s="353"/>
      <c r="E171" s="228"/>
      <c r="F171" s="228"/>
      <c r="G171" s="228"/>
      <c r="H171" s="228"/>
      <c r="I171" s="228"/>
      <c r="J171" s="228"/>
      <c r="K171" s="228"/>
      <c r="L171" s="228"/>
    </row>
    <row r="172" spans="1:5" ht="14.25">
      <c r="A172" s="529" t="str">
        <f>+IF('Datos a presupuestar'!A172=0,"",'Datos a presupuestar'!A172)</f>
        <v>1010200-3</v>
      </c>
      <c r="B172" s="242" t="str">
        <f>+IF('Datos a presupuestar'!B172=0,"",'Datos a presupuestar'!B172)</f>
        <v>Honorarios de la Junta Directiva</v>
      </c>
      <c r="C172" s="530">
        <f>+'Datos a presupuestar'!C172-'Datos de desfinanciación'!C37</f>
        <v>6440000</v>
      </c>
      <c r="D172" s="229"/>
      <c r="E172" s="355"/>
    </row>
    <row r="173" spans="1:4" ht="14.25">
      <c r="A173" s="529" t="str">
        <f>+IF('Datos a presupuestar'!A173=0,"",'Datos a presupuestar'!A173)</f>
        <v>1010200-4</v>
      </c>
      <c r="B173" s="242" t="str">
        <f>+IF('Datos a presupuestar'!B173=0,"",'Datos a presupuestar'!B173)</f>
        <v>Otros Honorarios</v>
      </c>
      <c r="C173" s="530">
        <f>+'Datos a presupuestar'!C173-'Datos de desfinanciación'!C38</f>
        <v>3765324461</v>
      </c>
      <c r="D173" s="229"/>
    </row>
    <row r="174" spans="1:4" ht="14.25">
      <c r="A174" s="529" t="str">
        <f>+IF('Datos a presupuestar'!A174=0,"",'Datos a presupuestar'!A174)</f>
        <v>1010200-5</v>
      </c>
      <c r="B174" s="242" t="str">
        <f>+IF('Datos a presupuestar'!B174=0,"",'Datos a presupuestar'!B174)</f>
        <v>Certificación, Habilitación Y Acreditación</v>
      </c>
      <c r="C174" s="530">
        <f>+'Datos a presupuestar'!C174-'Datos de desfinanciación'!C39</f>
        <v>10000000</v>
      </c>
      <c r="D174" s="229"/>
    </row>
    <row r="175" spans="1:4" ht="14.25">
      <c r="A175" s="534">
        <f>+IF('Datos a presupuestar'!A175=0,"",'Datos a presupuestar'!A175)</f>
        <v>1010299</v>
      </c>
      <c r="B175" s="250" t="str">
        <f>+IF('Datos a presupuestar'!B175=0,"",'Datos a presupuestar'!B175)</f>
        <v>Vigencias Anteriores</v>
      </c>
      <c r="C175" s="530">
        <f>+'Datos a presupuestar'!C175-'Datos de desfinanciación'!C40</f>
        <v>0</v>
      </c>
      <c r="D175" s="229"/>
    </row>
    <row r="176" spans="1:4" s="363" customFormat="1" ht="12.75">
      <c r="A176" s="512">
        <f>+IF('Datos a presupuestar'!A176=0,"",'Datos a presupuestar'!A176)</f>
      </c>
      <c r="B176" s="477">
        <f>+IF('Datos a presupuestar'!B176=0,"",'Datos a presupuestar'!B176)</f>
      </c>
      <c r="C176" s="513"/>
      <c r="D176" s="362"/>
    </row>
    <row r="177" spans="1:4" ht="15">
      <c r="A177" s="527">
        <f>+IF('Datos a presupuestar'!A177=0,"",'Datos a presupuestar'!A177)</f>
        <v>1010300</v>
      </c>
      <c r="B177" s="249" t="str">
        <f>+IF('Datos a presupuestar'!B177=0,"",'Datos a presupuestar'!B177)</f>
        <v>Contribuciones Inherentes nómina al Sector Privado</v>
      </c>
      <c r="C177" s="528">
        <f>C178+C183+C189</f>
        <v>224204181</v>
      </c>
      <c r="D177" s="229"/>
    </row>
    <row r="178" spans="1:4" s="351" customFormat="1" ht="15">
      <c r="A178" s="529">
        <f>+IF('Datos a presupuestar'!A178=0,"",'Datos a presupuestar'!A178)</f>
        <v>1010301</v>
      </c>
      <c r="B178" s="242" t="str">
        <f>+IF('Datos a presupuestar'!B178=0,"",'Datos a presupuestar'!B178)</f>
        <v>Contribuciones - SGP - Aportes Patronales - Cuentas Maestras</v>
      </c>
      <c r="C178" s="530">
        <f>SUM(C179:C182)</f>
        <v>0</v>
      </c>
      <c r="D178" s="350"/>
    </row>
    <row r="179" spans="1:4" s="354" customFormat="1" ht="12.75">
      <c r="A179" s="532" t="str">
        <f>+IF('Datos a presupuestar'!A179=0,"",'Datos a presupuestar'!A179)</f>
        <v>1010301-1</v>
      </c>
      <c r="B179" s="251" t="str">
        <f>+IF('Datos a presupuestar'!B179=0,"",'Datos a presupuestar'!B179)</f>
        <v>E.P.S. - Aportes cuentas maestras</v>
      </c>
      <c r="C179" s="533">
        <f>+'Datos a presupuestar'!C179-'Datos de desfinanciación'!C44</f>
        <v>0</v>
      </c>
      <c r="D179" s="353"/>
    </row>
    <row r="180" spans="1:5" ht="12.75">
      <c r="A180" s="532" t="str">
        <f>+IF('Datos a presupuestar'!A180=0,"",'Datos a presupuestar'!A180)</f>
        <v>1010301-2</v>
      </c>
      <c r="B180" s="251" t="str">
        <f>+IF('Datos a presupuestar'!B180=0,"",'Datos a presupuestar'!B180)</f>
        <v>Fondos pensionales - Aportes cuentas maestras</v>
      </c>
      <c r="C180" s="533">
        <f>+'Datos a presupuestar'!C180-'Datos de desfinanciación'!C45</f>
        <v>0</v>
      </c>
      <c r="D180" s="229"/>
      <c r="E180" s="356"/>
    </row>
    <row r="181" spans="1:5" ht="12.75">
      <c r="A181" s="532" t="str">
        <f>+IF('Datos a presupuestar'!A181=0,"",'Datos a presupuestar'!A181)</f>
        <v>1010301-3</v>
      </c>
      <c r="B181" s="251" t="str">
        <f>+IF('Datos a presupuestar'!B181=0,"",'Datos a presupuestar'!B181)</f>
        <v>Fondos de cesantías - Aportes cuentas maestras</v>
      </c>
      <c r="C181" s="533">
        <f>+'Datos a presupuestar'!C181-'Datos de desfinanciación'!C46</f>
        <v>0</v>
      </c>
      <c r="D181" s="229"/>
      <c r="E181" s="356"/>
    </row>
    <row r="182" spans="1:5" ht="12.75">
      <c r="A182" s="532" t="str">
        <f>+IF('Datos a presupuestar'!A182=0,"",'Datos a presupuestar'!A182)</f>
        <v>1010301-4</v>
      </c>
      <c r="B182" s="251" t="str">
        <f>+IF('Datos a presupuestar'!B182=0,"",'Datos a presupuestar'!B182)</f>
        <v>Riesgos laborales - Aportes cuentas maestras</v>
      </c>
      <c r="C182" s="533">
        <f>+'Datos a presupuestar'!C182-'Datos de desfinanciación'!C47</f>
        <v>0</v>
      </c>
      <c r="D182" s="229"/>
      <c r="E182" s="356"/>
    </row>
    <row r="183" spans="1:3" ht="14.25">
      <c r="A183" s="529">
        <f>+IF('Datos a presupuestar'!A183=0,"",'Datos a presupuestar'!A183)</f>
        <v>1010302</v>
      </c>
      <c r="B183" s="242" t="str">
        <f>+IF('Datos a presupuestar'!B183=0,"",'Datos a presupuestar'!B183)</f>
        <v>Contribuciones - Otros</v>
      </c>
      <c r="C183" s="530">
        <f>SUM(C184:C188)</f>
        <v>224204181</v>
      </c>
    </row>
    <row r="184" spans="1:3" ht="12.75">
      <c r="A184" s="532" t="str">
        <f>+IF('Datos a presupuestar'!A184=0,"",'Datos a presupuestar'!A184)</f>
        <v>1010302-1</v>
      </c>
      <c r="B184" s="251" t="str">
        <f>+IF('Datos a presupuestar'!B184=0,"",'Datos a presupuestar'!B184)</f>
        <v>E.P.S. - Aportes con recursos propios</v>
      </c>
      <c r="C184" s="533">
        <f>+'Datos a presupuestar'!C184-'Datos de desfinanciación'!C49</f>
        <v>53018436</v>
      </c>
    </row>
    <row r="185" spans="1:3" ht="12.75">
      <c r="A185" s="532" t="str">
        <f>+IF('Datos a presupuestar'!A185=0,"",'Datos a presupuestar'!A185)</f>
        <v>1010302-2</v>
      </c>
      <c r="B185" s="251" t="str">
        <f>+IF('Datos a presupuestar'!B185=0,"",'Datos a presupuestar'!B185)</f>
        <v>Fondos pensionales - Aportes con recursos propios</v>
      </c>
      <c r="C185" s="533">
        <f>+'Datos a presupuestar'!C185-'Datos de desfinanciación'!C50</f>
        <v>74849556</v>
      </c>
    </row>
    <row r="186" spans="1:3" ht="12.75">
      <c r="A186" s="532" t="str">
        <f>+IF('Datos a presupuestar'!A186=0,"",'Datos a presupuestar'!A186)</f>
        <v>1010302-3</v>
      </c>
      <c r="B186" s="251" t="str">
        <f>+IF('Datos a presupuestar'!B186=0,"",'Datos a presupuestar'!B186)</f>
        <v>Fondos de cesantías - Aportes con recursos propios</v>
      </c>
      <c r="C186" s="533">
        <f>+'Datos a presupuestar'!C186-'Datos de desfinanciación'!C51</f>
        <v>63498834</v>
      </c>
    </row>
    <row r="187" spans="1:3" ht="12.75">
      <c r="A187" s="532" t="str">
        <f>+IF('Datos a presupuestar'!A187=0,"",'Datos a presupuestar'!A187)</f>
        <v>1010302-4</v>
      </c>
      <c r="B187" s="251" t="str">
        <f>+IF('Datos a presupuestar'!B187=0,"",'Datos a presupuestar'!B187)</f>
        <v>Riesgos laborales - Aportes con recursos propios</v>
      </c>
      <c r="C187" s="533">
        <f>+'Datos a presupuestar'!C187-'Datos de desfinanciación'!C52</f>
        <v>3255956</v>
      </c>
    </row>
    <row r="188" spans="1:3" ht="12.75">
      <c r="A188" s="532" t="str">
        <f>+IF('Datos a presupuestar'!A188=0,"",'Datos a presupuestar'!A188)</f>
        <v>1010302-5</v>
      </c>
      <c r="B188" s="251" t="str">
        <f>+IF('Datos a presupuestar'!B188=0,"",'Datos a presupuestar'!B188)</f>
        <v>Aporte a Caja Compensación Familiar</v>
      </c>
      <c r="C188" s="533">
        <f>+'Datos a presupuestar'!C188-'Datos de desfinanciación'!C53</f>
        <v>29581399</v>
      </c>
    </row>
    <row r="189" spans="1:3" ht="14.25">
      <c r="A189" s="534">
        <f>+IF('Datos a presupuestar'!A189=0,"",'Datos a presupuestar'!A189)</f>
        <v>1010399</v>
      </c>
      <c r="B189" s="250" t="str">
        <f>+IF('Datos a presupuestar'!B189=0,"",'Datos a presupuestar'!B189)</f>
        <v>Vigencias Anteriores</v>
      </c>
      <c r="C189" s="530">
        <f>+'Datos a presupuestar'!C189-'Datos de desfinanciación'!C54</f>
        <v>0</v>
      </c>
    </row>
    <row r="190" spans="1:4" s="363" customFormat="1" ht="12.75">
      <c r="A190" s="512">
        <f>+IF('Datos a presupuestar'!A190=0,"",'Datos a presupuestar'!A190)</f>
      </c>
      <c r="B190" s="477">
        <f>+IF('Datos a presupuestar'!B190=0,"",'Datos a presupuestar'!B190)</f>
      </c>
      <c r="C190" s="513"/>
      <c r="D190" s="362"/>
    </row>
    <row r="191" spans="1:4" ht="15">
      <c r="A191" s="527">
        <f>+IF('Datos a presupuestar'!A191=0,"",'Datos a presupuestar'!A191)</f>
        <v>1010400</v>
      </c>
      <c r="B191" s="249" t="str">
        <f>+IF('Datos a presupuestar'!B191=0,"",'Datos a presupuestar'!B191)</f>
        <v>Contribuciones Inherentes nómina del Sector Público</v>
      </c>
      <c r="C191" s="528">
        <f>C192+C195</f>
        <v>36976748</v>
      </c>
      <c r="D191" s="229"/>
    </row>
    <row r="192" spans="1:4" s="351" customFormat="1" ht="15">
      <c r="A192" s="529">
        <f>+IF('Datos a presupuestar'!A192=0,"",'Datos a presupuestar'!A192)</f>
        <v>1010402</v>
      </c>
      <c r="B192" s="242" t="str">
        <f>+IF('Datos a presupuestar'!B192=0,"",'Datos a presupuestar'!B192)</f>
        <v>Contribuciones - Otros</v>
      </c>
      <c r="C192" s="530">
        <f>SUM(C193:C194)</f>
        <v>36976748</v>
      </c>
      <c r="D192" s="350"/>
    </row>
    <row r="193" spans="1:12" s="354" customFormat="1" ht="12.75">
      <c r="A193" s="532" t="str">
        <f>+IF('Datos a presupuestar'!A193=0,"",'Datos a presupuestar'!A193)</f>
        <v>1010402-1</v>
      </c>
      <c r="B193" s="251" t="str">
        <f>+IF('Datos a presupuestar'!B193=0,"",'Datos a presupuestar'!B193)</f>
        <v>S.E.N.A.</v>
      </c>
      <c r="C193" s="533">
        <f>+'Datos a presupuestar'!C193-'Datos de desfinanciación'!C58</f>
        <v>14790699</v>
      </c>
      <c r="D193" s="353"/>
      <c r="E193" s="228"/>
      <c r="F193" s="228"/>
      <c r="G193" s="228"/>
      <c r="H193" s="228"/>
      <c r="I193" s="228"/>
      <c r="J193" s="228"/>
      <c r="K193" s="228"/>
      <c r="L193" s="228"/>
    </row>
    <row r="194" spans="1:4" ht="12.75">
      <c r="A194" s="532" t="str">
        <f>+IF('Datos a presupuestar'!A194=0,"",'Datos a presupuestar'!A194)</f>
        <v>1010402-2</v>
      </c>
      <c r="B194" s="251" t="str">
        <f>+IF('Datos a presupuestar'!B194=0,"",'Datos a presupuestar'!B194)</f>
        <v>I.C.B.F.</v>
      </c>
      <c r="C194" s="533">
        <f>+'Datos a presupuestar'!C194-'Datos de desfinanciación'!C59</f>
        <v>22186049</v>
      </c>
      <c r="D194" s="229"/>
    </row>
    <row r="195" spans="1:4" ht="14.25">
      <c r="A195" s="534">
        <f>+IF('Datos a presupuestar'!A195=0,"",'Datos a presupuestar'!A195)</f>
        <v>1010499</v>
      </c>
      <c r="B195" s="250" t="str">
        <f>+IF('Datos a presupuestar'!B195=0,"",'Datos a presupuestar'!B195)</f>
        <v>Vigencias Anteriores</v>
      </c>
      <c r="C195" s="530">
        <f>+'Datos a presupuestar'!C195-'Datos de desfinanciación'!C60</f>
        <v>0</v>
      </c>
      <c r="D195" s="229"/>
    </row>
    <row r="196" spans="1:4" s="363" customFormat="1" ht="12.75">
      <c r="A196" s="512">
        <f>+IF('Datos a presupuestar'!A196=0,"",'Datos a presupuestar'!A196)</f>
      </c>
      <c r="B196" s="477">
        <f>+IF('Datos a presupuestar'!B196=0,"",'Datos a presupuestar'!B196)</f>
      </c>
      <c r="C196" s="513"/>
      <c r="D196" s="362"/>
    </row>
    <row r="197" spans="1:4" ht="15.75">
      <c r="A197" s="505">
        <f>+IF('Datos a presupuestar'!A197=0,"",'Datos a presupuestar'!A197)</f>
        <v>1020010</v>
      </c>
      <c r="B197" s="218" t="str">
        <f>+IF('Datos a presupuestar'!B197=0,"",'Datos a presupuestar'!B197)</f>
        <v>Gastos de Operación</v>
      </c>
      <c r="C197" s="506">
        <f>C199+C216+C222+C236</f>
        <v>23977216626</v>
      </c>
      <c r="D197" s="229"/>
    </row>
    <row r="198" spans="1:4" ht="12.75">
      <c r="A198" s="512">
        <f>+IF('Datos a presupuestar'!A198=0,"",'Datos a presupuestar'!A198)</f>
      </c>
      <c r="B198" s="477">
        <f>+IF('Datos a presupuestar'!B198=0,"",'Datos a presupuestar'!B198)</f>
      </c>
      <c r="C198" s="513"/>
      <c r="D198" s="229"/>
    </row>
    <row r="199" spans="1:4" ht="15">
      <c r="A199" s="527">
        <f>+IF('Datos a presupuestar'!A199=0,"",'Datos a presupuestar'!A199)</f>
        <v>1020100</v>
      </c>
      <c r="B199" s="249" t="str">
        <f>+IF('Datos a presupuestar'!B199=0,"",'Datos a presupuestar'!B199)</f>
        <v>Servicios Personales Asociados a Nómina</v>
      </c>
      <c r="C199" s="528">
        <f>SUM(C200:C203)+C214</f>
        <v>1644076531</v>
      </c>
      <c r="D199" s="229"/>
    </row>
    <row r="200" spans="1:4" s="351" customFormat="1" ht="15">
      <c r="A200" s="529">
        <f>+IF('Datos a presupuestar'!A200=0,"",'Datos a presupuestar'!A200)</f>
        <v>1020101</v>
      </c>
      <c r="B200" s="242" t="str">
        <f>+IF('Datos a presupuestar'!B200=0,"",'Datos a presupuestar'!B200)</f>
        <v>Sueldos del Personal de nómina</v>
      </c>
      <c r="C200" s="530">
        <f>+'Datos a presupuestar'!C200-'Datos de desfinanciación'!C65</f>
        <v>1258680622</v>
      </c>
      <c r="D200" s="350"/>
    </row>
    <row r="201" spans="1:4" ht="14.25">
      <c r="A201" s="529">
        <f>+IF('Datos a presupuestar'!A201=0,"",'Datos a presupuestar'!A201)</f>
        <v>1020102</v>
      </c>
      <c r="B201" s="242" t="str">
        <f>+IF('Datos a presupuestar'!B201=0,"",'Datos a presupuestar'!B201)</f>
        <v>Horas Extras,Dominic.,Festivos y Rec. Nocturnos</v>
      </c>
      <c r="C201" s="530">
        <f>+'Datos a presupuestar'!C201-'Datos de desfinanciación'!C66</f>
        <v>95176032</v>
      </c>
      <c r="D201" s="229"/>
    </row>
    <row r="202" spans="1:4" ht="14.25">
      <c r="A202" s="529">
        <f>+IF('Datos a presupuestar'!A202=0,"",'Datos a presupuestar'!A202)</f>
        <v>1020103</v>
      </c>
      <c r="B202" s="242" t="str">
        <f>+IF('Datos a presupuestar'!B202=0,"",'Datos a presupuestar'!B202)</f>
        <v>Prima Técnica</v>
      </c>
      <c r="C202" s="530">
        <f>+'Datos a presupuestar'!C202-'Datos de desfinanciación'!C67</f>
        <v>0</v>
      </c>
      <c r="D202" s="229"/>
    </row>
    <row r="203" spans="1:4" ht="14.25">
      <c r="A203" s="529">
        <f>+IF('Datos a presupuestar'!A203=0,"",'Datos a presupuestar'!A203)</f>
        <v>1020104</v>
      </c>
      <c r="B203" s="242" t="str">
        <f>+IF('Datos a presupuestar'!B203=0,"",'Datos a presupuestar'!B203)</f>
        <v>Otros</v>
      </c>
      <c r="C203" s="531">
        <f>SUM(C204:C213)</f>
        <v>290219877</v>
      </c>
      <c r="D203" s="229"/>
    </row>
    <row r="204" spans="1:4" ht="12.75">
      <c r="A204" s="532" t="str">
        <f>+IF('Datos a presupuestar'!A204=0,"",'Datos a presupuestar'!A204)</f>
        <v>1020104-1</v>
      </c>
      <c r="B204" s="251" t="str">
        <f>+IF('Datos a presupuestar'!B204=0,"",'Datos a presupuestar'!B204)</f>
        <v>Prima de Navidad </v>
      </c>
      <c r="C204" s="533">
        <f>+'Datos a presupuestar'!C204-'Datos de desfinanciación'!C69</f>
        <v>112891907</v>
      </c>
      <c r="D204" s="229"/>
    </row>
    <row r="205" spans="1:4" ht="12.75">
      <c r="A205" s="532" t="str">
        <f>+IF('Datos a presupuestar'!A205=0,"",'Datos a presupuestar'!A205)</f>
        <v>1020104-2</v>
      </c>
      <c r="B205" s="251" t="str">
        <f>+IF('Datos a presupuestar'!B205=0,"",'Datos a presupuestar'!B205)</f>
        <v>Prima de Vacaciones</v>
      </c>
      <c r="C205" s="533">
        <f>+'Datos a presupuestar'!C205-'Datos de desfinanciación'!C70</f>
        <v>57897752</v>
      </c>
      <c r="D205" s="229"/>
    </row>
    <row r="206" spans="1:4" ht="12.75">
      <c r="A206" s="532" t="str">
        <f>+IF('Datos a presupuestar'!A206=0,"",'Datos a presupuestar'!A206)</f>
        <v>1020104-3</v>
      </c>
      <c r="B206" s="251" t="str">
        <f>+IF('Datos a presupuestar'!B206=0,"",'Datos a presupuestar'!B206)</f>
        <v>Bonificación  por servicios prestados</v>
      </c>
      <c r="C206" s="533">
        <f>+'Datos a presupuestar'!C206-'Datos de desfinanciación'!C71</f>
        <v>35118541</v>
      </c>
      <c r="D206" s="229"/>
    </row>
    <row r="207" spans="1:4" ht="12.75">
      <c r="A207" s="532" t="str">
        <f>+IF('Datos a presupuestar'!A207=0,"",'Datos a presupuestar'!A207)</f>
        <v>1020104-4</v>
      </c>
      <c r="B207" s="251" t="str">
        <f>+IF('Datos a presupuestar'!B207=0,"",'Datos a presupuestar'!B207)</f>
        <v>Prima de Servicios</v>
      </c>
      <c r="C207" s="533">
        <f>+'Datos a presupuestar'!C207-'Datos de desfinanciación'!C72</f>
        <v>53444084</v>
      </c>
      <c r="D207" s="229"/>
    </row>
    <row r="208" spans="1:4" ht="12.75">
      <c r="A208" s="532" t="str">
        <f>+IF('Datos a presupuestar'!A208=0,"",'Datos a presupuestar'!A208)</f>
        <v>1020104-5</v>
      </c>
      <c r="B208" s="251" t="str">
        <f>+IF('Datos a presupuestar'!B208=0,"",'Datos a presupuestar'!B208)</f>
        <v>Bonificación Convencional</v>
      </c>
      <c r="C208" s="533">
        <f>+'Datos a presupuestar'!C208-'Datos de desfinanciación'!C73</f>
        <v>0</v>
      </c>
      <c r="D208" s="229"/>
    </row>
    <row r="209" spans="1:4" ht="12.75">
      <c r="A209" s="532" t="str">
        <f>+IF('Datos a presupuestar'!A209=0,"",'Datos a presupuestar'!A209)</f>
        <v>1020104-6</v>
      </c>
      <c r="B209" s="251" t="str">
        <f>+IF('Datos a presupuestar'!B209=0,"",'Datos a presupuestar'!B209)</f>
        <v>Auxilio de Transporte</v>
      </c>
      <c r="C209" s="533">
        <f>+'Datos a presupuestar'!C209-'Datos de desfinanciación'!C74</f>
        <v>2592000</v>
      </c>
      <c r="D209" s="229"/>
    </row>
    <row r="210" spans="1:4" ht="12.75">
      <c r="A210" s="532" t="str">
        <f>+IF('Datos a presupuestar'!A210=0,"",'Datos a presupuestar'!A210)</f>
        <v>1020104-7</v>
      </c>
      <c r="B210" s="251" t="str">
        <f>+IF('Datos a presupuestar'!B210=0,"",'Datos a presupuestar'!B210)</f>
        <v>Auxilio de Alimentación</v>
      </c>
      <c r="C210" s="533">
        <f>+'Datos a presupuestar'!C210-'Datos de desfinanciación'!C75</f>
        <v>1586352</v>
      </c>
      <c r="D210" s="229"/>
    </row>
    <row r="211" spans="1:4" ht="12.75">
      <c r="A211" s="532" t="str">
        <f>+IF('Datos a presupuestar'!A211=0,"",'Datos a presupuestar'!A211)</f>
        <v>1020104-8</v>
      </c>
      <c r="B211" s="251" t="str">
        <f>+IF('Datos a presupuestar'!B211=0,"",'Datos a presupuestar'!B211)</f>
        <v>Indemnizaciones por Vacaciones o Supresión de Cargos por Reestructuración</v>
      </c>
      <c r="C211" s="533">
        <f>+'Datos a presupuestar'!C211-'Datos de desfinanciación'!C76</f>
        <v>0</v>
      </c>
      <c r="D211" s="229"/>
    </row>
    <row r="212" spans="1:4" ht="12.75">
      <c r="A212" s="532" t="str">
        <f>+IF('Datos a presupuestar'!A212=0,"",'Datos a presupuestar'!A212)</f>
        <v>1020104-9</v>
      </c>
      <c r="B212" s="251" t="str">
        <f>+IF('Datos a presupuestar'!B212=0,"",'Datos a presupuestar'!B212)</f>
        <v>Bonificación Especial por Recreación</v>
      </c>
      <c r="C212" s="533">
        <f>+'Datos a presupuestar'!C212-'Datos de desfinanciación'!C77</f>
        <v>6689241</v>
      </c>
      <c r="D212" s="229"/>
    </row>
    <row r="213" spans="1:4" ht="12.75">
      <c r="A213" s="532" t="str">
        <f>+IF('Datos a presupuestar'!A213=0,"",'Datos a presupuestar'!A213)</f>
        <v>1020104-10</v>
      </c>
      <c r="B213" s="251">
        <f>+IF('Datos a presupuestar'!B213=0,"",'Datos a presupuestar'!B213)</f>
      </c>
      <c r="C213" s="533">
        <f>+'Datos a presupuestar'!C213-'Datos de desfinanciación'!C78</f>
        <v>20000000</v>
      </c>
      <c r="D213" s="229"/>
    </row>
    <row r="214" spans="1:4" ht="14.25">
      <c r="A214" s="534">
        <f>+IF('Datos a presupuestar'!A214=0,"",'Datos a presupuestar'!A214)</f>
        <v>1020199</v>
      </c>
      <c r="B214" s="250" t="str">
        <f>+IF('Datos a presupuestar'!B214=0,"",'Datos a presupuestar'!B214)</f>
        <v>Vigencias Anteriores</v>
      </c>
      <c r="C214" s="530">
        <f>+'Datos a presupuestar'!C214-'Datos de desfinanciación'!C79</f>
        <v>0</v>
      </c>
      <c r="D214" s="229"/>
    </row>
    <row r="215" spans="1:4" ht="12.75">
      <c r="A215" s="512">
        <f>+IF('Datos a presupuestar'!A215=0,"",'Datos a presupuestar'!A215)</f>
      </c>
      <c r="B215" s="477">
        <f>+IF('Datos a presupuestar'!B215=0,"",'Datos a presupuestar'!B215)</f>
      </c>
      <c r="C215" s="513"/>
      <c r="D215" s="229"/>
    </row>
    <row r="216" spans="1:4" s="363" customFormat="1" ht="15">
      <c r="A216" s="527">
        <f>+IF('Datos a presupuestar'!A216=0,"",'Datos a presupuestar'!A216)</f>
        <v>1020200</v>
      </c>
      <c r="B216" s="249" t="str">
        <f>+IF('Datos a presupuestar'!B216=0,"",'Datos a presupuestar'!B216)</f>
        <v>Servicios Personales Indirectos</v>
      </c>
      <c r="C216" s="528">
        <f>SUM(C217:C220)</f>
        <v>21767245364</v>
      </c>
      <c r="D216" s="362"/>
    </row>
    <row r="217" spans="1:4" ht="14.25">
      <c r="A217" s="529" t="str">
        <f>+IF('Datos a presupuestar'!A217=0,"",'Datos a presupuestar'!A217)</f>
        <v>1020200-1</v>
      </c>
      <c r="B217" s="242" t="str">
        <f>+IF('Datos a presupuestar'!B217=0,"",'Datos a presupuestar'!B217)</f>
        <v>Remuneración por Servicios Técnicos</v>
      </c>
      <c r="C217" s="530">
        <f>+'Datos a presupuestar'!C217-'Datos de desfinanciación'!C82</f>
        <v>4353400000</v>
      </c>
      <c r="D217" s="229"/>
    </row>
    <row r="218" spans="1:4" s="351" customFormat="1" ht="15">
      <c r="A218" s="529" t="str">
        <f>+IF('Datos a presupuestar'!A218=0,"",'Datos a presupuestar'!A218)</f>
        <v>1020200-2</v>
      </c>
      <c r="B218" s="242" t="str">
        <f>+IF('Datos a presupuestar'!B218=0,"",'Datos a presupuestar'!B218)</f>
        <v>Personal Supernumerario</v>
      </c>
      <c r="C218" s="530">
        <f>+'Datos a presupuestar'!C218-'Datos de desfinanciación'!C83</f>
        <v>0</v>
      </c>
      <c r="D218" s="350"/>
    </row>
    <row r="219" spans="1:4" ht="14.25">
      <c r="A219" s="529" t="str">
        <f>+IF('Datos a presupuestar'!A219=0,"",'Datos a presupuestar'!A219)</f>
        <v>1020200-3</v>
      </c>
      <c r="B219" s="242" t="str">
        <f>+IF('Datos a presupuestar'!B219=0,"",'Datos a presupuestar'!B219)</f>
        <v>Otros Honorarios</v>
      </c>
      <c r="C219" s="530">
        <f>+'Datos a presupuestar'!C219-'Datos de desfinanciación'!C84</f>
        <v>17413845364</v>
      </c>
      <c r="D219" s="229"/>
    </row>
    <row r="220" spans="1:4" ht="14.25">
      <c r="A220" s="534">
        <f>+IF('Datos a presupuestar'!A220=0,"",'Datos a presupuestar'!A220)</f>
        <v>1020299</v>
      </c>
      <c r="B220" s="250" t="str">
        <f>+IF('Datos a presupuestar'!B220=0,"",'Datos a presupuestar'!B220)</f>
        <v>Vigencias Anteriores</v>
      </c>
      <c r="C220" s="530">
        <f>+'Datos a presupuestar'!C220-'Datos de desfinanciación'!C85</f>
        <v>0</v>
      </c>
      <c r="D220" s="229"/>
    </row>
    <row r="221" spans="1:4" ht="12.75">
      <c r="A221" s="512">
        <f>+IF('Datos a presupuestar'!A221=0,"",'Datos a presupuestar'!A221)</f>
      </c>
      <c r="B221" s="477">
        <f>+IF('Datos a presupuestar'!B221=0,"",'Datos a presupuestar'!B221)</f>
      </c>
      <c r="C221" s="513"/>
      <c r="D221" s="229"/>
    </row>
    <row r="222" spans="1:4" s="363" customFormat="1" ht="15">
      <c r="A222" s="527">
        <f>+IF('Datos a presupuestar'!A222=0,"",'Datos a presupuestar'!A222)</f>
        <v>1020300</v>
      </c>
      <c r="B222" s="249" t="str">
        <f>+IF('Datos a presupuestar'!B222=0,"",'Datos a presupuestar'!B222)</f>
        <v>Contribuciones Inherentes nómina al Sector Privado</v>
      </c>
      <c r="C222" s="528">
        <f>C223+C228+C234</f>
        <v>489721035</v>
      </c>
      <c r="D222" s="362"/>
    </row>
    <row r="223" spans="1:4" ht="14.25">
      <c r="A223" s="529">
        <f>+IF('Datos a presupuestar'!A223=0,"",'Datos a presupuestar'!A223)</f>
        <v>1020301</v>
      </c>
      <c r="B223" s="242" t="str">
        <f>+IF('Datos a presupuestar'!B223=0,"",'Datos a presupuestar'!B223)</f>
        <v>Contribuciones - SGP - Aportes Patronales - Cuentas Maestras</v>
      </c>
      <c r="C223" s="530">
        <f>SUM(C224:C227)</f>
        <v>0</v>
      </c>
      <c r="D223" s="229"/>
    </row>
    <row r="224" spans="1:4" s="351" customFormat="1" ht="15">
      <c r="A224" s="532" t="str">
        <f>+IF('Datos a presupuestar'!A224=0,"",'Datos a presupuestar'!A224)</f>
        <v>1020301-1</v>
      </c>
      <c r="B224" s="251" t="str">
        <f>+IF('Datos a presupuestar'!B224=0,"",'Datos a presupuestar'!B224)</f>
        <v>E.P.S. - Aportes cuentas maestras</v>
      </c>
      <c r="C224" s="533">
        <f>+'Datos a presupuestar'!C224-'Datos de desfinanciación'!C89</f>
        <v>0</v>
      </c>
      <c r="D224" s="350"/>
    </row>
    <row r="225" spans="1:4" ht="12.75">
      <c r="A225" s="532" t="str">
        <f>+IF('Datos a presupuestar'!A225=0,"",'Datos a presupuestar'!A225)</f>
        <v>1020301-2</v>
      </c>
      <c r="B225" s="251" t="str">
        <f>+IF('Datos a presupuestar'!B225=0,"",'Datos a presupuestar'!B225)</f>
        <v>Fondos pensionales - Aportes cuentas maestras</v>
      </c>
      <c r="C225" s="533">
        <f>+'Datos a presupuestar'!C225-'Datos de desfinanciación'!C90</f>
        <v>0</v>
      </c>
      <c r="D225" s="229"/>
    </row>
    <row r="226" spans="1:4" ht="12.75">
      <c r="A226" s="532" t="str">
        <f>+IF('Datos a presupuestar'!A226=0,"",'Datos a presupuestar'!A226)</f>
        <v>1020301-3</v>
      </c>
      <c r="B226" s="251" t="str">
        <f>+IF('Datos a presupuestar'!B226=0,"",'Datos a presupuestar'!B226)</f>
        <v>Fondos de cesantías - Aportes cuentas maestras</v>
      </c>
      <c r="C226" s="533">
        <f>+'Datos a presupuestar'!C226-'Datos de desfinanciación'!C91</f>
        <v>0</v>
      </c>
      <c r="D226" s="229"/>
    </row>
    <row r="227" spans="1:4" ht="12.75">
      <c r="A227" s="532" t="str">
        <f>+IF('Datos a presupuestar'!A227=0,"",'Datos a presupuestar'!A227)</f>
        <v>1020301-4</v>
      </c>
      <c r="B227" s="251" t="str">
        <f>+IF('Datos a presupuestar'!B227=0,"",'Datos a presupuestar'!B227)</f>
        <v>Riesgos laborales - Aportes cuentas maestras</v>
      </c>
      <c r="C227" s="533">
        <f>+'Datos a presupuestar'!C227-'Datos de desfinanciación'!C92</f>
        <v>0</v>
      </c>
      <c r="D227" s="229"/>
    </row>
    <row r="228" spans="1:5" ht="14.25">
      <c r="A228" s="529">
        <f>+IF('Datos a presupuestar'!A228=0,"",'Datos a presupuestar'!A228)</f>
        <v>1020302</v>
      </c>
      <c r="B228" s="242" t="str">
        <f>+IF('Datos a presupuestar'!B228=0,"",'Datos a presupuestar'!B228)</f>
        <v>Contribuciones - Otros</v>
      </c>
      <c r="C228" s="530">
        <f>SUM(C229:C233)</f>
        <v>489721035</v>
      </c>
      <c r="D228" s="229"/>
      <c r="E228" s="356"/>
    </row>
    <row r="229" spans="1:4" ht="12.75">
      <c r="A229" s="532" t="str">
        <f>+IF('Datos a presupuestar'!A229=0,"",'Datos a presupuestar'!A229)</f>
        <v>1020302-1</v>
      </c>
      <c r="B229" s="251" t="str">
        <f>+IF('Datos a presupuestar'!B229=0,"",'Datos a presupuestar'!B229)</f>
        <v>E.P.S. - Aportes con recursos propios</v>
      </c>
      <c r="C229" s="533">
        <f>+'Datos a presupuestar'!C229-'Datos de desfinanciación'!C94</f>
        <v>110435424</v>
      </c>
      <c r="D229" s="229"/>
    </row>
    <row r="230" spans="1:4" ht="12.75">
      <c r="A230" s="532" t="str">
        <f>+IF('Datos a presupuestar'!A230=0,"",'Datos a presupuestar'!A230)</f>
        <v>1020302-2</v>
      </c>
      <c r="B230" s="251" t="str">
        <f>+IF('Datos a presupuestar'!B230=0,"",'Datos a presupuestar'!B230)</f>
        <v>Fondos pensionales - Aportes con recursos propios</v>
      </c>
      <c r="C230" s="533">
        <f>+'Datos a presupuestar'!C230-'Datos de desfinanciación'!C95</f>
        <v>155908824</v>
      </c>
      <c r="D230" s="229"/>
    </row>
    <row r="231" spans="1:4" ht="12.75">
      <c r="A231" s="532" t="str">
        <f>+IF('Datos a presupuestar'!A231=0,"",'Datos a presupuestar'!A231)</f>
        <v>1020302-3</v>
      </c>
      <c r="B231" s="251" t="str">
        <f>+IF('Datos a presupuestar'!B231=0,"",'Datos a presupuestar'!B231)</f>
        <v>Fondos de cesantías - Aportes con recursos propios</v>
      </c>
      <c r="C231" s="533">
        <f>+'Datos a presupuestar'!C231-'Datos de desfinanciación'!C96</f>
        <v>130788339</v>
      </c>
      <c r="D231" s="229"/>
    </row>
    <row r="232" spans="1:4" ht="12.75">
      <c r="A232" s="532" t="str">
        <f>+IF('Datos a presupuestar'!A232=0,"",'Datos a presupuestar'!A232)</f>
        <v>1020302-4</v>
      </c>
      <c r="B232" s="251" t="str">
        <f>+IF('Datos a presupuestar'!B232=0,"",'Datos a presupuestar'!B232)</f>
        <v>Riesgos laborales - Aportes con recursos propios</v>
      </c>
      <c r="C232" s="533">
        <f>+'Datos a presupuestar'!C232-'Datos de desfinanciación'!C97</f>
        <v>31649491</v>
      </c>
      <c r="D232" s="229"/>
    </row>
    <row r="233" spans="1:4" ht="12.75">
      <c r="A233" s="532" t="str">
        <f>+IF('Datos a presupuestar'!A233=0,"",'Datos a presupuestar'!A233)</f>
        <v>1020302-5</v>
      </c>
      <c r="B233" s="251" t="str">
        <f>+IF('Datos a presupuestar'!B233=0,"",'Datos a presupuestar'!B233)</f>
        <v>Aporte a Caja Compensación Familiar</v>
      </c>
      <c r="C233" s="533">
        <f>+'Datos a presupuestar'!C233-'Datos de desfinanciación'!C98</f>
        <v>60938957</v>
      </c>
      <c r="D233" s="229"/>
    </row>
    <row r="234" spans="1:4" ht="14.25">
      <c r="A234" s="534">
        <f>+IF('Datos a presupuestar'!A234=0,"",'Datos a presupuestar'!A234)</f>
        <v>1020399</v>
      </c>
      <c r="B234" s="250" t="str">
        <f>+IF('Datos a presupuestar'!B234=0,"",'Datos a presupuestar'!B234)</f>
        <v>Vigencias Anteriores</v>
      </c>
      <c r="C234" s="530">
        <f>+'Datos a presupuestar'!C234-'Datos de desfinanciación'!C99</f>
        <v>0</v>
      </c>
      <c r="D234" s="229"/>
    </row>
    <row r="235" spans="1:4" ht="12.75">
      <c r="A235" s="512">
        <f>+IF('Datos a presupuestar'!A235=0,"",'Datos a presupuestar'!A235)</f>
      </c>
      <c r="B235" s="477">
        <f>+IF('Datos a presupuestar'!B235=0,"",'Datos a presupuestar'!B235)</f>
      </c>
      <c r="C235" s="513"/>
      <c r="D235" s="229"/>
    </row>
    <row r="236" spans="1:4" s="363" customFormat="1" ht="15">
      <c r="A236" s="527">
        <f>+IF('Datos a presupuestar'!A236=0,"",'Datos a presupuestar'!A236)</f>
        <v>1020400</v>
      </c>
      <c r="B236" s="249" t="str">
        <f>+IF('Datos a presupuestar'!B236=0,"",'Datos a presupuestar'!B236)</f>
        <v>Contribuciones Inherentes nómina del Sector Publico</v>
      </c>
      <c r="C236" s="528">
        <f>C237+C240</f>
        <v>76173696</v>
      </c>
      <c r="D236" s="362"/>
    </row>
    <row r="237" spans="1:4" ht="14.25">
      <c r="A237" s="529">
        <f>+IF('Datos a presupuestar'!A237=0,"",'Datos a presupuestar'!A237)</f>
        <v>1020402</v>
      </c>
      <c r="B237" s="242" t="str">
        <f>+IF('Datos a presupuestar'!B237=0,"",'Datos a presupuestar'!B237)</f>
        <v>Contribuciones - Otros</v>
      </c>
      <c r="C237" s="530">
        <f>SUM(C238:C239)</f>
        <v>76173696</v>
      </c>
      <c r="D237" s="229"/>
    </row>
    <row r="238" spans="1:4" s="351" customFormat="1" ht="15">
      <c r="A238" s="532" t="str">
        <f>+IF('Datos a presupuestar'!A238=0,"",'Datos a presupuestar'!A238)</f>
        <v>1020402-1</v>
      </c>
      <c r="B238" s="251" t="str">
        <f>+IF('Datos a presupuestar'!B238=0,"",'Datos a presupuestar'!B238)</f>
        <v>S.E.N.A.</v>
      </c>
      <c r="C238" s="533">
        <f>+'Datos a presupuestar'!C238-'Datos de desfinanciación'!C103</f>
        <v>30469478</v>
      </c>
      <c r="D238" s="350"/>
    </row>
    <row r="239" spans="1:4" ht="12.75">
      <c r="A239" s="532" t="str">
        <f>+IF('Datos a presupuestar'!A239=0,"",'Datos a presupuestar'!A239)</f>
        <v>1020402-2</v>
      </c>
      <c r="B239" s="251" t="str">
        <f>+IF('Datos a presupuestar'!B239=0,"",'Datos a presupuestar'!B239)</f>
        <v>I.C.B.F.</v>
      </c>
      <c r="C239" s="533">
        <f>+'Datos a presupuestar'!C239-'Datos de desfinanciación'!C104</f>
        <v>45704218</v>
      </c>
      <c r="D239" s="229"/>
    </row>
    <row r="240" spans="1:4" ht="14.25">
      <c r="A240" s="534">
        <f>+IF('Datos a presupuestar'!A240=0,"",'Datos a presupuestar'!A240)</f>
        <v>1020499</v>
      </c>
      <c r="B240" s="250" t="str">
        <f>+IF('Datos a presupuestar'!B240=0,"",'Datos a presupuestar'!B240)</f>
        <v>Vigencias Anteriores</v>
      </c>
      <c r="C240" s="530">
        <f>+'Datos a presupuestar'!C240-'Datos de desfinanciación'!C105</f>
        <v>0</v>
      </c>
      <c r="D240" s="229"/>
    </row>
    <row r="241" spans="1:4" ht="12.75">
      <c r="A241" s="512">
        <f>+IF('Datos a presupuestar'!A241=0,"",'Datos a presupuestar'!A241)</f>
      </c>
      <c r="B241" s="477">
        <f>+IF('Datos a presupuestar'!B241=0,"",'Datos a presupuestar'!B241)</f>
      </c>
      <c r="C241" s="513"/>
      <c r="D241" s="229"/>
    </row>
    <row r="242" spans="1:4" s="363" customFormat="1" ht="16.5">
      <c r="A242" s="526">
        <f>+IF('Datos a presupuestar'!A242=0,"",'Datos a presupuestar'!A242)</f>
        <v>2000000</v>
      </c>
      <c r="B242" s="245" t="str">
        <f>+IF('Datos a presupuestar'!B242=0,"",'Datos a presupuestar'!B242)</f>
        <v>GASTOS GENERALES</v>
      </c>
      <c r="C242" s="519">
        <f>C244+C277</f>
        <v>7490512228</v>
      </c>
      <c r="D242" s="362"/>
    </row>
    <row r="243" spans="1:5" ht="12.75">
      <c r="A243" s="512">
        <f>+IF('Datos a presupuestar'!A243=0,"",'Datos a presupuestar'!A243)</f>
      </c>
      <c r="B243" s="477">
        <f>+IF('Datos a presupuestar'!B243=0,"",'Datos a presupuestar'!B243)</f>
      </c>
      <c r="C243" s="513"/>
      <c r="D243" s="229"/>
      <c r="E243" s="333"/>
    </row>
    <row r="244" spans="1:5" s="248" customFormat="1" ht="16.5">
      <c r="A244" s="505">
        <f>+IF('Datos a presupuestar'!A244=0,"",'Datos a presupuestar'!A244)</f>
        <v>2010000</v>
      </c>
      <c r="B244" s="218" t="str">
        <f>+IF('Datos a presupuestar'!B244=0,"",'Datos a presupuestar'!B244)</f>
        <v>Gastos de Administración</v>
      </c>
      <c r="C244" s="506">
        <f>C246+C255+C273</f>
        <v>4884004053</v>
      </c>
      <c r="D244" s="246"/>
      <c r="E244" s="349"/>
    </row>
    <row r="245" spans="1:4" ht="12.75">
      <c r="A245" s="512">
        <f>+IF('Datos a presupuestar'!A245=0,"",'Datos a presupuestar'!A245)</f>
      </c>
      <c r="B245" s="477">
        <f>+IF('Datos a presupuestar'!B245=0,"",'Datos a presupuestar'!B245)</f>
      </c>
      <c r="C245" s="513"/>
      <c r="D245" s="229"/>
    </row>
    <row r="246" spans="1:4" ht="15">
      <c r="A246" s="527">
        <f>+IF('Datos a presupuestar'!A246=0,"",'Datos a presupuestar'!A246)</f>
        <v>2010100</v>
      </c>
      <c r="B246" s="249" t="str">
        <f>+IF('Datos a presupuestar'!B246=0,"",'Datos a presupuestar'!B246)</f>
        <v>Adquisición de bienes</v>
      </c>
      <c r="C246" s="528">
        <f>SUM(C247:C253)</f>
        <v>445006955</v>
      </c>
      <c r="D246" s="229"/>
    </row>
    <row r="247" spans="1:4" ht="14.25">
      <c r="A247" s="529" t="str">
        <f>+IF('Datos a presupuestar'!A247=0,"",'Datos a presupuestar'!A247)</f>
        <v>2010100-1</v>
      </c>
      <c r="B247" s="242" t="str">
        <f>+IF('Datos a presupuestar'!B247=0,"",'Datos a presupuestar'!B247)</f>
        <v>Compra de Equipos</v>
      </c>
      <c r="C247" s="530">
        <f>+'Datos a presupuestar'!C247-'Datos de desfinanciación'!C112</f>
        <v>240970955</v>
      </c>
      <c r="D247" s="229"/>
    </row>
    <row r="248" spans="1:4" s="351" customFormat="1" ht="15">
      <c r="A248" s="529" t="str">
        <f>+IF('Datos a presupuestar'!A248=0,"",'Datos a presupuestar'!A248)</f>
        <v>2010100-2</v>
      </c>
      <c r="B248" s="242" t="str">
        <f>+IF('Datos a presupuestar'!B248=0,"",'Datos a presupuestar'!B248)</f>
        <v>Materiales</v>
      </c>
      <c r="C248" s="530">
        <f>+'Datos a presupuestar'!C248-'Datos de desfinanciación'!C113</f>
        <v>201521000</v>
      </c>
      <c r="D248" s="350"/>
    </row>
    <row r="249" spans="1:4" ht="14.25">
      <c r="A249" s="529" t="str">
        <f>+IF('Datos a presupuestar'!A249=0,"",'Datos a presupuestar'!A249)</f>
        <v>2010100-3</v>
      </c>
      <c r="B249" s="242" t="str">
        <f>+IF('Datos a presupuestar'!B249=0,"",'Datos a presupuestar'!B249)</f>
        <v>Salud Ocupacional</v>
      </c>
      <c r="C249" s="530">
        <f>+'Datos a presupuestar'!C249-'Datos de desfinanciación'!C114</f>
        <v>2515000</v>
      </c>
      <c r="D249" s="229"/>
    </row>
    <row r="250" spans="1:4" ht="14.25">
      <c r="A250" s="529" t="str">
        <f>+IF('Datos a presupuestar'!A250=0,"",'Datos a presupuestar'!A250)</f>
        <v>2010100-4</v>
      </c>
      <c r="B250" s="242">
        <f>+IF('Datos a presupuestar'!B250=0,"",'Datos a presupuestar'!B250)</f>
      </c>
      <c r="C250" s="530">
        <f>+'Datos a presupuestar'!C250-'Datos de desfinanciación'!C115</f>
        <v>0</v>
      </c>
      <c r="D250" s="229"/>
    </row>
    <row r="251" spans="1:4" ht="14.25">
      <c r="A251" s="529" t="str">
        <f>+IF('Datos a presupuestar'!A251=0,"",'Datos a presupuestar'!A251)</f>
        <v>2010100-5</v>
      </c>
      <c r="B251" s="242">
        <f>+IF('Datos a presupuestar'!B251=0,"",'Datos a presupuestar'!B251)</f>
      </c>
      <c r="C251" s="530">
        <f>+'Datos a presupuestar'!C251-'Datos de desfinanciación'!C116</f>
        <v>0</v>
      </c>
      <c r="D251" s="229"/>
    </row>
    <row r="252" spans="1:4" s="363" customFormat="1" ht="14.25">
      <c r="A252" s="529" t="str">
        <f>+IF('Datos a presupuestar'!A252=0,"",'Datos a presupuestar'!A252)</f>
        <v>2010100-6</v>
      </c>
      <c r="B252" s="242">
        <f>+IF('Datos a presupuestar'!B252=0,"",'Datos a presupuestar'!B252)</f>
      </c>
      <c r="C252" s="530">
        <f>+'Datos a presupuestar'!C252-'Datos de desfinanciación'!C117</f>
        <v>0</v>
      </c>
      <c r="D252" s="362"/>
    </row>
    <row r="253" spans="1:4" ht="14.25">
      <c r="A253" s="534">
        <f>+IF('Datos a presupuestar'!A253=0,"",'Datos a presupuestar'!A253)</f>
        <v>2010199</v>
      </c>
      <c r="B253" s="250" t="str">
        <f>+IF('Datos a presupuestar'!B253=0,"",'Datos a presupuestar'!B253)</f>
        <v>Vigencias Anteriores</v>
      </c>
      <c r="C253" s="530">
        <f>+'Datos a presupuestar'!C253-'Datos de desfinanciación'!C118</f>
        <v>0</v>
      </c>
      <c r="D253" s="229"/>
    </row>
    <row r="254" spans="1:4" s="351" customFormat="1" ht="15">
      <c r="A254" s="512">
        <f>+IF('Datos a presupuestar'!A254=0,"",'Datos a presupuestar'!A254)</f>
      </c>
      <c r="B254" s="477">
        <f>+IF('Datos a presupuestar'!B254=0,"",'Datos a presupuestar'!B254)</f>
      </c>
      <c r="C254" s="513"/>
      <c r="D254" s="350"/>
    </row>
    <row r="255" spans="1:4" ht="15">
      <c r="A255" s="527">
        <f>+IF('Datos a presupuestar'!A255=0,"",'Datos a presupuestar'!A255)</f>
        <v>2010200</v>
      </c>
      <c r="B255" s="249" t="str">
        <f>+IF('Datos a presupuestar'!B255=0,"",'Datos a presupuestar'!B255)</f>
        <v>Adquisición de Servicios</v>
      </c>
      <c r="C255" s="528">
        <f>SUM(C256:C271)</f>
        <v>4435802038</v>
      </c>
      <c r="D255" s="229"/>
    </row>
    <row r="256" spans="1:4" ht="14.25">
      <c r="A256" s="529" t="str">
        <f>+IF('Datos a presupuestar'!A256=0,"",'Datos a presupuestar'!A256)</f>
        <v>2010200-1</v>
      </c>
      <c r="B256" s="242" t="str">
        <f>+IF('Datos a presupuestar'!B256=0,"",'Datos a presupuestar'!B256)</f>
        <v>Seguros</v>
      </c>
      <c r="C256" s="530">
        <f>+'Datos a presupuestar'!C256-'Datos de desfinanciación'!C121</f>
        <v>560256000</v>
      </c>
      <c r="D256" s="229"/>
    </row>
    <row r="257" spans="1:4" ht="14.25">
      <c r="A257" s="529" t="str">
        <f>+IF('Datos a presupuestar'!A257=0,"",'Datos a presupuestar'!A257)</f>
        <v>2010200-2</v>
      </c>
      <c r="B257" s="242" t="str">
        <f>+IF('Datos a presupuestar'!B257=0,"",'Datos a presupuestar'!B257)</f>
        <v>Impresos y Publicaciones</v>
      </c>
      <c r="C257" s="530">
        <f>+'Datos a presupuestar'!C257-'Datos de desfinanciación'!C122</f>
        <v>20152020</v>
      </c>
      <c r="D257" s="229"/>
    </row>
    <row r="258" spans="1:4" ht="14.25">
      <c r="A258" s="529" t="str">
        <f>+IF('Datos a presupuestar'!A258=0,"",'Datos a presupuestar'!A258)</f>
        <v>2010200-3</v>
      </c>
      <c r="B258" s="242" t="str">
        <f>+IF('Datos a presupuestar'!B258=0,"",'Datos a presupuestar'!B258)</f>
        <v>Servicios Públicos </v>
      </c>
      <c r="C258" s="530">
        <f>+'Datos a presupuestar'!C258-'Datos de desfinanciación'!C123</f>
        <v>1150250002</v>
      </c>
      <c r="D258" s="229"/>
    </row>
    <row r="259" spans="1:4" ht="14.25">
      <c r="A259" s="529" t="str">
        <f>+IF('Datos a presupuestar'!A259=0,"",'Datos a presupuestar'!A259)</f>
        <v>2010200-4</v>
      </c>
      <c r="B259" s="242" t="str">
        <f>+IF('Datos a presupuestar'!B259=0,"",'Datos a presupuestar'!B259)</f>
        <v>Comunicaciones y Transportes</v>
      </c>
      <c r="C259" s="530">
        <f>+'Datos a presupuestar'!C259-'Datos de desfinanciación'!C124</f>
        <v>20562000</v>
      </c>
      <c r="D259" s="229"/>
    </row>
    <row r="260" spans="1:4" ht="14.25">
      <c r="A260" s="529" t="str">
        <f>+IF('Datos a presupuestar'!A260=0,"",'Datos a presupuestar'!A260)</f>
        <v>2010200-5</v>
      </c>
      <c r="B260" s="242" t="str">
        <f>+IF('Datos a presupuestar'!B260=0,"",'Datos a presupuestar'!B260)</f>
        <v>Viáticos y Gastos de Viaje</v>
      </c>
      <c r="C260" s="530">
        <f>+'Datos a presupuestar'!C260-'Datos de desfinanciación'!C125</f>
        <v>10250000</v>
      </c>
      <c r="D260" s="229"/>
    </row>
    <row r="261" spans="1:4" ht="14.25">
      <c r="A261" s="529" t="str">
        <f>+IF('Datos a presupuestar'!A261=0,"",'Datos a presupuestar'!A261)</f>
        <v>2010200-6</v>
      </c>
      <c r="B261" s="242" t="str">
        <f>+IF('Datos a presupuestar'!B261=0,"",'Datos a presupuestar'!B261)</f>
        <v>Arrendamientos</v>
      </c>
      <c r="C261" s="530">
        <f>+'Datos a presupuestar'!C261-'Datos de desfinanciación'!C126</f>
        <v>500026500</v>
      </c>
      <c r="D261" s="229"/>
    </row>
    <row r="262" spans="1:4" ht="14.25">
      <c r="A262" s="529" t="str">
        <f>+IF('Datos a presupuestar'!A262=0,"",'Datos a presupuestar'!A262)</f>
        <v>2010200-7</v>
      </c>
      <c r="B262" s="242" t="str">
        <f>+IF('Datos a presupuestar'!B262=0,"",'Datos a presupuestar'!B262)</f>
        <v>Vigilancia y Aseo</v>
      </c>
      <c r="C262" s="530">
        <f>+'Datos a presupuestar'!C262-'Datos de desfinanciación'!C127</f>
        <v>2039038552</v>
      </c>
      <c r="D262" s="229"/>
    </row>
    <row r="263" spans="1:4" ht="14.25">
      <c r="A263" s="529" t="str">
        <f>+IF('Datos a presupuestar'!A263=0,"",'Datos a presupuestar'!A263)</f>
        <v>2010200-8</v>
      </c>
      <c r="B263" s="242" t="str">
        <f>+IF('Datos a presupuestar'!B263=0,"",'Datos a presupuestar'!B263)</f>
        <v>Bienestar Social</v>
      </c>
      <c r="C263" s="530">
        <f>+'Datos a presupuestar'!C263-'Datos de desfinanciación'!C128</f>
        <v>94984209</v>
      </c>
      <c r="D263" s="229"/>
    </row>
    <row r="264" spans="1:4" ht="14.25">
      <c r="A264" s="529" t="str">
        <f>+IF('Datos a presupuestar'!A264=0,"",'Datos a presupuestar'!A264)</f>
        <v>2010200-9</v>
      </c>
      <c r="B264" s="242" t="str">
        <f>+IF('Datos a presupuestar'!B264=0,"",'Datos a presupuestar'!B264)</f>
        <v>Capacitación, estimulos, incentivos, programa de calidad</v>
      </c>
      <c r="C264" s="530">
        <f>+'Datos a presupuestar'!C264-'Datos de desfinanciación'!C129</f>
        <v>10132500</v>
      </c>
      <c r="D264" s="229"/>
    </row>
    <row r="265" spans="1:4" ht="14.25">
      <c r="A265" s="529" t="str">
        <f>+IF('Datos a presupuestar'!A265=0,"",'Datos a presupuestar'!A265)</f>
        <v>2010200-10</v>
      </c>
      <c r="B265" s="242" t="str">
        <f>+IF('Datos a presupuestar'!B265=0,"",'Datos a presupuestar'!B265)</f>
        <v>Pagos otras IPS</v>
      </c>
      <c r="C265" s="530">
        <f>+'Datos a presupuestar'!C265-'Datos de desfinanciación'!C130</f>
        <v>0</v>
      </c>
      <c r="D265" s="229"/>
    </row>
    <row r="266" spans="1:4" s="363" customFormat="1" ht="14.25">
      <c r="A266" s="529" t="str">
        <f>+IF('Datos a presupuestar'!A266=0,"",'Datos a presupuestar'!A266)</f>
        <v>2010200-11</v>
      </c>
      <c r="B266" s="242" t="str">
        <f>+IF('Datos a presupuestar'!B266=0,"",'Datos a presupuestar'!B266)</f>
        <v>Gastos financieros</v>
      </c>
      <c r="C266" s="530">
        <f>+'Datos a presupuestar'!C266-'Datos de desfinanciación'!C131</f>
        <v>30150255</v>
      </c>
      <c r="D266" s="362"/>
    </row>
    <row r="267" spans="1:4" ht="14.25">
      <c r="A267" s="529" t="str">
        <f>+IF('Datos a presupuestar'!A267=0,"",'Datos a presupuestar'!A267)</f>
        <v>2010200-12</v>
      </c>
      <c r="B267" s="242">
        <f>+IF('Datos a presupuestar'!B267=0,"",'Datos a presupuestar'!B267)</f>
      </c>
      <c r="C267" s="530">
        <f>+'Datos a presupuestar'!C267-'Datos de desfinanciación'!C132</f>
        <v>0</v>
      </c>
      <c r="D267" s="229"/>
    </row>
    <row r="268" spans="1:4" s="351" customFormat="1" ht="15">
      <c r="A268" s="529" t="str">
        <f>+IF('Datos a presupuestar'!A268=0,"",'Datos a presupuestar'!A268)</f>
        <v>2010200-13</v>
      </c>
      <c r="B268" s="242">
        <f>+IF('Datos a presupuestar'!B268=0,"",'Datos a presupuestar'!B268)</f>
      </c>
      <c r="C268" s="530">
        <f>+'Datos a presupuestar'!C268-'Datos de desfinanciación'!C133</f>
        <v>0</v>
      </c>
      <c r="D268" s="350"/>
    </row>
    <row r="269" spans="1:4" ht="14.25">
      <c r="A269" s="529" t="str">
        <f>+IF('Datos a presupuestar'!A269=0,"",'Datos a presupuestar'!A269)</f>
        <v>2010200-14</v>
      </c>
      <c r="B269" s="242">
        <f>+IF('Datos a presupuestar'!B269=0,"",'Datos a presupuestar'!B269)</f>
      </c>
      <c r="C269" s="530">
        <f>+'Datos a presupuestar'!C269-'Datos de desfinanciación'!C134</f>
        <v>0</v>
      </c>
      <c r="D269" s="229"/>
    </row>
    <row r="270" spans="1:4" s="363" customFormat="1" ht="14.25">
      <c r="A270" s="529" t="str">
        <f>+IF('Datos a presupuestar'!A270=0,"",'Datos a presupuestar'!A270)</f>
        <v>2010200-15</v>
      </c>
      <c r="B270" s="242">
        <f>+IF('Datos a presupuestar'!B270=0,"",'Datos a presupuestar'!B270)</f>
      </c>
      <c r="C270" s="530">
        <f>+'Datos a presupuestar'!C270-'Datos de desfinanciación'!C135</f>
        <v>0</v>
      </c>
      <c r="D270" s="362"/>
    </row>
    <row r="271" spans="1:4" ht="14.25">
      <c r="A271" s="534">
        <f>+IF('Datos a presupuestar'!A271=0,"",'Datos a presupuestar'!A271)</f>
        <v>2010299</v>
      </c>
      <c r="B271" s="250" t="str">
        <f>+IF('Datos a presupuestar'!B271=0,"",'Datos a presupuestar'!B271)</f>
        <v>Vigencias Anteriores</v>
      </c>
      <c r="C271" s="530">
        <f>+'Datos a presupuestar'!C271-'Datos de desfinanciación'!C136</f>
        <v>0</v>
      </c>
      <c r="D271" s="229"/>
    </row>
    <row r="272" spans="1:4" ht="12.75">
      <c r="A272" s="512">
        <f>+IF('Datos a presupuestar'!A272=0,"",'Datos a presupuestar'!A272)</f>
      </c>
      <c r="B272" s="477">
        <f>+IF('Datos a presupuestar'!B272=0,"",'Datos a presupuestar'!B272)</f>
      </c>
      <c r="C272" s="513"/>
      <c r="D272" s="229"/>
    </row>
    <row r="273" spans="1:4" ht="15">
      <c r="A273" s="527">
        <f>+IF('Datos a presupuestar'!A273=0,"",'Datos a presupuestar'!A273)</f>
        <v>2010300</v>
      </c>
      <c r="B273" s="249" t="str">
        <f>+IF('Datos a presupuestar'!B273=0,"",'Datos a presupuestar'!B273)</f>
        <v>Impuestos y Multas</v>
      </c>
      <c r="C273" s="528">
        <f>+SUM(C274:C275)</f>
        <v>3195060</v>
      </c>
      <c r="D273" s="229"/>
    </row>
    <row r="274" spans="1:4" s="351" customFormat="1" ht="15">
      <c r="A274" s="529" t="str">
        <f>+IF('Datos a presupuestar'!A274=0,"",'Datos a presupuestar'!A274)</f>
        <v>2010300-1</v>
      </c>
      <c r="B274" s="242" t="str">
        <f>+IF('Datos a presupuestar'!B274=0,"",'Datos a presupuestar'!B274)</f>
        <v>Impuestos (Predial, Vehiculos, Otros)</v>
      </c>
      <c r="C274" s="530">
        <f>+'Datos a presupuestar'!C274-'Datos de desfinanciación'!C139</f>
        <v>3195060</v>
      </c>
      <c r="D274" s="350"/>
    </row>
    <row r="275" spans="1:4" ht="14.25">
      <c r="A275" s="534">
        <f>+IF('Datos a presupuestar'!A275=0,"",'Datos a presupuestar'!A275)</f>
        <v>2010399</v>
      </c>
      <c r="B275" s="250" t="str">
        <f>+IF('Datos a presupuestar'!B275=0,"",'Datos a presupuestar'!B275)</f>
        <v>Vigencias Anteriores</v>
      </c>
      <c r="C275" s="530">
        <f>+'Datos a presupuestar'!C275-'Datos de desfinanciación'!C140</f>
        <v>0</v>
      </c>
      <c r="D275" s="229"/>
    </row>
    <row r="276" spans="1:4" ht="12.75">
      <c r="A276" s="512">
        <f>+IF('Datos a presupuestar'!A276=0,"",'Datos a presupuestar'!A276)</f>
      </c>
      <c r="B276" s="477">
        <f>+IF('Datos a presupuestar'!B276=0,"",'Datos a presupuestar'!B276)</f>
      </c>
      <c r="C276" s="513"/>
      <c r="D276" s="229"/>
    </row>
    <row r="277" spans="1:4" ht="15.75">
      <c r="A277" s="505">
        <f>+IF('Datos a presupuestar'!A277=0,"",'Datos a presupuestar'!A277)</f>
        <v>2020010</v>
      </c>
      <c r="B277" s="218" t="str">
        <f>+IF('Datos a presupuestar'!B277=0,"",'Datos a presupuestar'!B277)</f>
        <v>Gastos de Operación</v>
      </c>
      <c r="C277" s="506">
        <f>C279+C287</f>
        <v>2606508175</v>
      </c>
      <c r="D277" s="229"/>
    </row>
    <row r="278" spans="1:4" ht="12.75">
      <c r="A278" s="512">
        <f>+IF('Datos a presupuestar'!A278=0,"",'Datos a presupuestar'!A278)</f>
      </c>
      <c r="B278" s="477">
        <f>+IF('Datos a presupuestar'!B278=0,"",'Datos a presupuestar'!B278)</f>
      </c>
      <c r="C278" s="513"/>
      <c r="D278" s="229"/>
    </row>
    <row r="279" spans="1:4" ht="15">
      <c r="A279" s="527">
        <f>+IF('Datos a presupuestar'!A279=0,"",'Datos a presupuestar'!A279)</f>
        <v>2020100</v>
      </c>
      <c r="B279" s="249" t="str">
        <f>+IF('Datos a presupuestar'!B279=0,"",'Datos a presupuestar'!B279)</f>
        <v>Adquisición de bienes</v>
      </c>
      <c r="C279" s="528">
        <f>SUM(C280:C281)+C285</f>
        <v>1502539263</v>
      </c>
      <c r="D279" s="229"/>
    </row>
    <row r="280" spans="1:4" ht="14.25">
      <c r="A280" s="529">
        <f>+IF('Datos a presupuestar'!A280=0,"",'Datos a presupuestar'!A280)</f>
        <v>2020101</v>
      </c>
      <c r="B280" s="242" t="str">
        <f>+IF('Datos a presupuestar'!B280=0,"",'Datos a presupuestar'!B280)</f>
        <v>Mantenimiento Hospitalario</v>
      </c>
      <c r="C280" s="530">
        <f>+'Datos a presupuestar'!C280-'Datos de desfinanciación'!C145</f>
        <v>863868912</v>
      </c>
      <c r="D280" s="229"/>
    </row>
    <row r="281" spans="1:4" ht="14.25">
      <c r="A281" s="529">
        <f>+IF('Datos a presupuestar'!A281=0,"",'Datos a presupuestar'!A281)</f>
        <v>2020102</v>
      </c>
      <c r="B281" s="242" t="str">
        <f>+IF('Datos a presupuestar'!B281=0,"",'Datos a presupuestar'!B281)</f>
        <v>Otros</v>
      </c>
      <c r="C281" s="535">
        <f>SUM(C282:C284)</f>
        <v>638670351</v>
      </c>
      <c r="D281" s="229"/>
    </row>
    <row r="282" spans="1:4" ht="12.75">
      <c r="A282" s="532" t="str">
        <f>+IF('Datos a presupuestar'!A282=0,"",'Datos a presupuestar'!A282)</f>
        <v>2020102-1</v>
      </c>
      <c r="B282" s="251" t="str">
        <f>+IF('Datos a presupuestar'!B282=0,"",'Datos a presupuestar'!B282)</f>
        <v>   Compra de Equipo e Instr. Mco. y Laborat.</v>
      </c>
      <c r="C282" s="533">
        <f>+'Datos a presupuestar'!C282-'Datos de desfinanciación'!C147</f>
        <v>155100000</v>
      </c>
      <c r="D282" s="229"/>
    </row>
    <row r="283" spans="1:4" ht="12.75">
      <c r="A283" s="532" t="str">
        <f>+IF('Datos a presupuestar'!A283=0,"",'Datos a presupuestar'!A283)</f>
        <v>2020102-2</v>
      </c>
      <c r="B283" s="251" t="str">
        <f>+IF('Datos a presupuestar'!B283=0,"",'Datos a presupuestar'!B283)</f>
        <v>   Materiales</v>
      </c>
      <c r="C283" s="533">
        <f>+'Datos a presupuestar'!C283-'Datos de desfinanciación'!C148</f>
        <v>483570351</v>
      </c>
      <c r="D283" s="229"/>
    </row>
    <row r="284" spans="1:4" ht="12.75">
      <c r="A284" s="532" t="str">
        <f>+IF('Datos a presupuestar'!A284=0,"",'Datos a presupuestar'!A284)</f>
        <v>2020102-3</v>
      </c>
      <c r="B284" s="251">
        <f>+IF('Datos a presupuestar'!B284=0,"",'Datos a presupuestar'!B284)</f>
      </c>
      <c r="C284" s="533">
        <f>+'Datos a presupuestar'!C284-'Datos de desfinanciación'!C149</f>
        <v>0</v>
      </c>
      <c r="D284" s="229"/>
    </row>
    <row r="285" spans="1:4" ht="14.25">
      <c r="A285" s="534">
        <f>+IF('Datos a presupuestar'!A285=0,"",'Datos a presupuestar'!A285)</f>
        <v>2020199</v>
      </c>
      <c r="B285" s="250" t="str">
        <f>+IF('Datos a presupuestar'!B285=0,"",'Datos a presupuestar'!B285)</f>
        <v>Vigencias Anteriores</v>
      </c>
      <c r="C285" s="530">
        <f>+'Datos a presupuestar'!C285-'Datos de desfinanciación'!C150</f>
        <v>0</v>
      </c>
      <c r="D285" s="229"/>
    </row>
    <row r="286" spans="1:4" s="363" customFormat="1" ht="12.75">
      <c r="A286" s="512">
        <f>+IF('Datos a presupuestar'!A286=0,"",'Datos a presupuestar'!A286)</f>
      </c>
      <c r="B286" s="477">
        <f>+IF('Datos a presupuestar'!B286=0,"",'Datos a presupuestar'!B286)</f>
      </c>
      <c r="C286" s="513"/>
      <c r="D286" s="362"/>
    </row>
    <row r="287" spans="1:4" ht="15">
      <c r="A287" s="527">
        <f>+IF('Datos a presupuestar'!A287=0,"",'Datos a presupuestar'!A287)</f>
        <v>2020200</v>
      </c>
      <c r="B287" s="249" t="str">
        <f>+IF('Datos a presupuestar'!B287=0,"",'Datos a presupuestar'!B287)</f>
        <v>Adquisición de Servicios</v>
      </c>
      <c r="C287" s="528">
        <f>SUM(C288:C289)+C301</f>
        <v>1103968912</v>
      </c>
      <c r="D287" s="229"/>
    </row>
    <row r="288" spans="1:4" s="351" customFormat="1" ht="15">
      <c r="A288" s="529">
        <f>+IF('Datos a presupuestar'!A288=0,"",'Datos a presupuestar'!A288)</f>
        <v>2020201</v>
      </c>
      <c r="B288" s="242" t="str">
        <f>+IF('Datos a presupuestar'!B288=0,"",'Datos a presupuestar'!B288)</f>
        <v>Mantenimiento Hospitalario</v>
      </c>
      <c r="C288" s="530">
        <f>+'Datos a presupuestar'!C288-'Datos de desfinanciación'!C153</f>
        <v>863868912</v>
      </c>
      <c r="D288" s="350"/>
    </row>
    <row r="289" spans="1:4" ht="14.25">
      <c r="A289" s="529">
        <f>+IF('Datos a presupuestar'!A289=0,"",'Datos a presupuestar'!A289)</f>
        <v>2020202</v>
      </c>
      <c r="B289" s="242" t="str">
        <f>+IF('Datos a presupuestar'!B289=0,"",'Datos a presupuestar'!B289)</f>
        <v>Otros</v>
      </c>
      <c r="C289" s="535">
        <f>SUM(C290:C300)</f>
        <v>240100000</v>
      </c>
      <c r="D289" s="229"/>
    </row>
    <row r="290" spans="1:4" ht="12.75">
      <c r="A290" s="532" t="str">
        <f>+IF('Datos a presupuestar'!A290=0,"",'Datos a presupuestar'!A290)</f>
        <v>2020202-1</v>
      </c>
      <c r="B290" s="251" t="str">
        <f>+IF('Datos a presupuestar'!B290=0,"",'Datos a presupuestar'!B290)</f>
        <v>Seguros</v>
      </c>
      <c r="C290" s="533">
        <f>+'Datos a presupuestar'!C290-'Datos de desfinanciación'!C155</f>
        <v>0</v>
      </c>
      <c r="D290" s="229"/>
    </row>
    <row r="291" spans="1:4" ht="12.75">
      <c r="A291" s="532" t="str">
        <f>+IF('Datos a presupuestar'!A291=0,"",'Datos a presupuestar'!A291)</f>
        <v>2020202-2</v>
      </c>
      <c r="B291" s="251" t="str">
        <f>+IF('Datos a presupuestar'!B291=0,"",'Datos a presupuestar'!B291)</f>
        <v>Impresos y Publicaciones</v>
      </c>
      <c r="C291" s="533">
        <f>+'Datos a presupuestar'!C291-'Datos de desfinanciación'!C156</f>
        <v>0</v>
      </c>
      <c r="D291" s="229"/>
    </row>
    <row r="292" spans="1:4" ht="12.75">
      <c r="A292" s="532" t="str">
        <f>+IF('Datos a presupuestar'!A292=0,"",'Datos a presupuestar'!A292)</f>
        <v>2020202-3</v>
      </c>
      <c r="B292" s="251" t="str">
        <f>+IF('Datos a presupuestar'!B292=0,"",'Datos a presupuestar'!B292)</f>
        <v>Pagos otras IPS</v>
      </c>
      <c r="C292" s="533">
        <f>+'Datos a presupuestar'!C292-'Datos de desfinanciación'!C157</f>
        <v>0</v>
      </c>
      <c r="D292" s="229"/>
    </row>
    <row r="293" spans="1:4" ht="12.75">
      <c r="A293" s="532" t="str">
        <f>+IF('Datos a presupuestar'!A293=0,"",'Datos a presupuestar'!A293)</f>
        <v>2020202-4</v>
      </c>
      <c r="B293" s="251" t="str">
        <f>+IF('Datos a presupuestar'!B293=0,"",'Datos a presupuestar'!B293)</f>
        <v>Comunicaciones y Transportes</v>
      </c>
      <c r="C293" s="533">
        <f>+'Datos a presupuestar'!C293-'Datos de desfinanciación'!C158</f>
        <v>0</v>
      </c>
      <c r="D293" s="229"/>
    </row>
    <row r="294" spans="1:4" ht="12.75">
      <c r="A294" s="532" t="str">
        <f>+IF('Datos a presupuestar'!A294=0,"",'Datos a presupuestar'!A294)</f>
        <v>2020202-5</v>
      </c>
      <c r="B294" s="251" t="str">
        <f>+IF('Datos a presupuestar'!B294=0,"",'Datos a presupuestar'!B294)</f>
        <v>Viáticos y Gastos de Viaje</v>
      </c>
      <c r="C294" s="533">
        <f>+'Datos a presupuestar'!C294-'Datos de desfinanciación'!C159</f>
        <v>0</v>
      </c>
      <c r="D294" s="229"/>
    </row>
    <row r="295" spans="1:4" ht="12.75">
      <c r="A295" s="532" t="str">
        <f>+IF('Datos a presupuestar'!A295=0,"",'Datos a presupuestar'!A295)</f>
        <v>2020202-6</v>
      </c>
      <c r="B295" s="251" t="str">
        <f>+IF('Datos a presupuestar'!B295=0,"",'Datos a presupuestar'!B295)</f>
        <v>Plan Integral de Manejos de Residuos Sólidos Hospitalarios</v>
      </c>
      <c r="C295" s="533">
        <f>+'Datos a presupuestar'!C295-'Datos de desfinanciación'!C160</f>
        <v>240100000</v>
      </c>
      <c r="D295" s="229"/>
    </row>
    <row r="296" spans="1:4" ht="12.75">
      <c r="A296" s="532" t="str">
        <f>+IF('Datos a presupuestar'!A296=0,"",'Datos a presupuestar'!A296)</f>
        <v>2020202-7</v>
      </c>
      <c r="B296" s="251" t="str">
        <f>+IF('Datos a presupuestar'!B296=0,"",'Datos a presupuestar'!B296)</f>
        <v>Servicios de laboratorio contratados con terceros</v>
      </c>
      <c r="C296" s="533">
        <f>+'Datos a presupuestar'!C296-'Datos de desfinanciación'!C161</f>
        <v>0</v>
      </c>
      <c r="D296" s="229"/>
    </row>
    <row r="297" spans="1:4" ht="12.75">
      <c r="A297" s="532" t="str">
        <f>+IF('Datos a presupuestar'!A297=0,"",'Datos a presupuestar'!A297)</f>
        <v>2020202-8</v>
      </c>
      <c r="B297" s="251" t="str">
        <f>+IF('Datos a presupuestar'!B297=0,"",'Datos a presupuestar'!B297)</f>
        <v>Servicios de rayos X e imaginología contratados con terceros</v>
      </c>
      <c r="C297" s="533">
        <f>+'Datos a presupuestar'!C297-'Datos de desfinanciación'!C162</f>
        <v>0</v>
      </c>
      <c r="D297" s="229"/>
    </row>
    <row r="298" spans="1:4" ht="12.75">
      <c r="A298" s="532" t="str">
        <f>+IF('Datos a presupuestar'!A298=0,"",'Datos a presupuestar'!A298)</f>
        <v>2020202-9</v>
      </c>
      <c r="B298" s="251" t="str">
        <f>+IF('Datos a presupuestar'!B298=0,"",'Datos a presupuestar'!B298)</f>
        <v>Arrendamientos</v>
      </c>
      <c r="C298" s="533">
        <f>+'Datos a presupuestar'!C298-'Datos de desfinanciación'!C163</f>
        <v>0</v>
      </c>
      <c r="D298" s="229"/>
    </row>
    <row r="299" spans="1:4" ht="12.75">
      <c r="A299" s="532" t="str">
        <f>+IF('Datos a presupuestar'!A299=0,"",'Datos a presupuestar'!A299)</f>
        <v>2020202-10</v>
      </c>
      <c r="B299" s="251" t="str">
        <f>+IF('Datos a presupuestar'!B299=0,"",'Datos a presupuestar'!B299)</f>
        <v>Servicios Públicos</v>
      </c>
      <c r="C299" s="533">
        <f>+'Datos a presupuestar'!C299-'Datos de desfinanciación'!C164</f>
        <v>0</v>
      </c>
      <c r="D299" s="229"/>
    </row>
    <row r="300" spans="1:4" ht="12.75">
      <c r="A300" s="532" t="str">
        <f>+IF('Datos a presupuestar'!A300=0,"",'Datos a presupuestar'!A300)</f>
        <v>2020202-11</v>
      </c>
      <c r="B300" s="251">
        <f>+IF('Datos a presupuestar'!B300=0,"",'Datos a presupuestar'!B300)</f>
      </c>
      <c r="C300" s="533"/>
      <c r="D300" s="229"/>
    </row>
    <row r="301" spans="1:12" s="354" customFormat="1" ht="14.25">
      <c r="A301" s="534">
        <f>+IF('Datos a presupuestar'!A301=0,"",'Datos a presupuestar'!A301)</f>
        <v>2020299</v>
      </c>
      <c r="B301" s="250" t="str">
        <f>+IF('Datos a presupuestar'!B301=0,"",'Datos a presupuestar'!B301)</f>
        <v>Vigencias Anteriores</v>
      </c>
      <c r="C301" s="530">
        <f>+'Datos a presupuestar'!C301-'Datos de desfinanciación'!C166</f>
        <v>0</v>
      </c>
      <c r="D301" s="353"/>
      <c r="E301" s="228"/>
      <c r="F301" s="228"/>
      <c r="G301" s="228"/>
      <c r="H301" s="228"/>
      <c r="I301" s="228"/>
      <c r="J301" s="228"/>
      <c r="K301" s="228"/>
      <c r="L301" s="228"/>
    </row>
    <row r="302" spans="1:4" s="363" customFormat="1" ht="12.75">
      <c r="A302" s="512">
        <f>+IF('Datos a presupuestar'!A302=0,"",'Datos a presupuestar'!A302)</f>
      </c>
      <c r="B302" s="477">
        <f>+IF('Datos a presupuestar'!B302=0,"",'Datos a presupuestar'!B302)</f>
      </c>
      <c r="C302" s="513"/>
      <c r="D302" s="362"/>
    </row>
    <row r="303" spans="1:5" ht="16.5">
      <c r="A303" s="526">
        <f>+IF('Datos a presupuestar'!A303=0,"",'Datos a presupuestar'!A303)</f>
        <v>3000000</v>
      </c>
      <c r="B303" s="245" t="str">
        <f>+IF('Datos a presupuestar'!B303=0,"",'Datos a presupuestar'!B303)</f>
        <v>TRANSFERENCIAS CORRIENTES</v>
      </c>
      <c r="C303" s="519">
        <f>C305+C309+C316</f>
        <v>349326788</v>
      </c>
      <c r="D303" s="229"/>
      <c r="E303" s="333"/>
    </row>
    <row r="304" spans="1:5" s="248" customFormat="1" ht="16.5">
      <c r="A304" s="512">
        <f>+IF('Datos a presupuestar'!A304=0,"",'Datos a presupuestar'!A304)</f>
      </c>
      <c r="B304" s="477">
        <f>+IF('Datos a presupuestar'!B304=0,"",'Datos a presupuestar'!B304)</f>
      </c>
      <c r="C304" s="513"/>
      <c r="D304" s="246"/>
      <c r="E304" s="349"/>
    </row>
    <row r="305" spans="1:4" ht="15">
      <c r="A305" s="527">
        <f>+IF('Datos a presupuestar'!A305=0,"",'Datos a presupuestar'!A305)</f>
        <v>3100000</v>
      </c>
      <c r="B305" s="249" t="str">
        <f>+IF('Datos a presupuestar'!B305=0,"",'Datos a presupuestar'!B305)</f>
        <v>Transferencias al Sector Público</v>
      </c>
      <c r="C305" s="528">
        <f>SUM(C306:C307)</f>
        <v>70153000</v>
      </c>
      <c r="D305" s="229"/>
    </row>
    <row r="306" spans="1:4" s="351" customFormat="1" ht="15">
      <c r="A306" s="529">
        <f>+IF('Datos a presupuestar'!A306=0,"",'Datos a presupuestar'!A306)</f>
        <v>3100003</v>
      </c>
      <c r="B306" s="242" t="str">
        <f>+IF('Datos a presupuestar'!B306=0,"",'Datos a presupuestar'!B306)</f>
        <v>Entidades Públicas (Contraloria, Supersalud,…)</v>
      </c>
      <c r="C306" s="530">
        <f>+'Datos a presupuestar'!C306-'Datos de desfinanciación'!C171</f>
        <v>70153000</v>
      </c>
      <c r="D306" s="350"/>
    </row>
    <row r="307" spans="1:4" ht="14.25">
      <c r="A307" s="534">
        <f>+IF('Datos a presupuestar'!A307=0,"",'Datos a presupuestar'!A307)</f>
        <v>3199999</v>
      </c>
      <c r="B307" s="250" t="str">
        <f>+IF('Datos a presupuestar'!B307=0,"",'Datos a presupuestar'!B307)</f>
        <v>Vigencias Anteriores</v>
      </c>
      <c r="C307" s="530">
        <f>+'Datos a presupuestar'!C307-'Datos de desfinanciación'!C172</f>
        <v>0</v>
      </c>
      <c r="D307" s="229"/>
    </row>
    <row r="308" spans="1:4" s="363" customFormat="1" ht="12.75">
      <c r="A308" s="512">
        <f>+IF('Datos a presupuestar'!A308=0,"",'Datos a presupuestar'!A308)</f>
      </c>
      <c r="B308" s="477">
        <f>+IF('Datos a presupuestar'!B308=0,"",'Datos a presupuestar'!B308)</f>
      </c>
      <c r="C308" s="513"/>
      <c r="D308" s="362"/>
    </row>
    <row r="309" spans="1:4" ht="15">
      <c r="A309" s="527">
        <f>+IF('Datos a presupuestar'!A309=0,"",'Datos a presupuestar'!A309)</f>
        <v>320000</v>
      </c>
      <c r="B309" s="249" t="str">
        <f>+IF('Datos a presupuestar'!B309=0,"",'Datos a presupuestar'!B309)</f>
        <v>Transf. Previsión y Seguridad Social</v>
      </c>
      <c r="C309" s="528">
        <f>SUM(C310:C314)</f>
        <v>37424783</v>
      </c>
      <c r="D309" s="229"/>
    </row>
    <row r="310" spans="1:4" s="351" customFormat="1" ht="15">
      <c r="A310" s="529">
        <f>+IF('Datos a presupuestar'!A310=0,"",'Datos a presupuestar'!A310)</f>
        <v>3200100</v>
      </c>
      <c r="B310" s="242" t="str">
        <f>+IF('Datos a presupuestar'!B310=0,"",'Datos a presupuestar'!B310)</f>
        <v>Pensiones y Jubilaciones (Pago Directo)</v>
      </c>
      <c r="C310" s="530">
        <f>+'Datos a presupuestar'!C310-'Datos de desfinanciación'!C175</f>
        <v>8085322</v>
      </c>
      <c r="D310" s="350"/>
    </row>
    <row r="311" spans="1:4" ht="14.25">
      <c r="A311" s="529">
        <f>+IF('Datos a presupuestar'!A311=0,"",'Datos a presupuestar'!A311)</f>
        <v>3200200</v>
      </c>
      <c r="B311" s="242" t="str">
        <f>+IF('Datos a presupuestar'!B311=0,"",'Datos a presupuestar'!B311)</f>
        <v>Cesantías Pago Directo (Pago Directo)</v>
      </c>
      <c r="C311" s="530">
        <f>+'Datos a presupuestar'!C311-'Datos de desfinanciación'!C176</f>
        <v>0</v>
      </c>
      <c r="D311" s="229"/>
    </row>
    <row r="312" spans="1:4" ht="14.25">
      <c r="A312" s="529">
        <f>+IF('Datos a presupuestar'!A312=0,"",'Datos a presupuestar'!A312)</f>
        <v>3200300</v>
      </c>
      <c r="B312" s="242" t="str">
        <f>+IF('Datos a presupuestar'!B312=0,"",'Datos a presupuestar'!B312)</f>
        <v>Bonos, cuotas de Bonos y cuotas partes jubilatorias</v>
      </c>
      <c r="C312" s="530">
        <f>+'Datos a presupuestar'!C312-'Datos de desfinanciación'!C177</f>
        <v>6025000</v>
      </c>
      <c r="D312" s="229"/>
    </row>
    <row r="313" spans="1:4" ht="14.25">
      <c r="A313" s="529">
        <f>+IF('Datos a presupuestar'!A313=0,"",'Datos a presupuestar'!A313)</f>
        <v>3200400</v>
      </c>
      <c r="B313" s="242" t="str">
        <f>+IF('Datos a presupuestar'!B313=0,"",'Datos a presupuestar'!B313)</f>
        <v>Intereses a las cesantias</v>
      </c>
      <c r="C313" s="530">
        <f>+'Datos a presupuestar'!C313-'Datos de desfinanciación'!C178</f>
        <v>23314461</v>
      </c>
      <c r="D313" s="229"/>
    </row>
    <row r="314" spans="1:4" ht="14.25">
      <c r="A314" s="534">
        <f>+IF('Datos a presupuestar'!A314=0,"",'Datos a presupuestar'!A314)</f>
        <v>3299999</v>
      </c>
      <c r="B314" s="250" t="str">
        <f>+IF('Datos a presupuestar'!B314=0,"",'Datos a presupuestar'!B314)</f>
        <v>Vigencias Anteriores</v>
      </c>
      <c r="C314" s="530">
        <f>+'Datos a presupuestar'!C314-'Datos de desfinanciación'!C179</f>
        <v>0</v>
      </c>
      <c r="D314" s="229"/>
    </row>
    <row r="315" spans="1:4" s="363" customFormat="1" ht="12.75">
      <c r="A315" s="512">
        <f>+IF('Datos a presupuestar'!A315=0,"",'Datos a presupuestar'!A315)</f>
      </c>
      <c r="B315" s="477">
        <f>+IF('Datos a presupuestar'!B315=0,"",'Datos a presupuestar'!B315)</f>
      </c>
      <c r="C315" s="513"/>
      <c r="D315" s="362"/>
    </row>
    <row r="316" spans="1:4" ht="15">
      <c r="A316" s="527">
        <f>+IF('Datos a presupuestar'!A316=0,"",'Datos a presupuestar'!A316)</f>
        <v>3300000</v>
      </c>
      <c r="B316" s="249" t="str">
        <f>+IF('Datos a presupuestar'!B316=0,"",'Datos a presupuestar'!B316)</f>
        <v>Otras Transferencias</v>
      </c>
      <c r="C316" s="528">
        <f>+SUM(C317:C318)+C322</f>
        <v>241749005</v>
      </c>
      <c r="D316" s="229"/>
    </row>
    <row r="317" spans="1:4" s="351" customFormat="1" ht="15">
      <c r="A317" s="529">
        <f>+IF('Datos a presupuestar'!A317=0,"",'Datos a presupuestar'!A317)</f>
        <v>3300100</v>
      </c>
      <c r="B317" s="242" t="str">
        <f>+IF('Datos a presupuestar'!B317=0,"",'Datos a presupuestar'!B317)</f>
        <v>Sentencias y Conciliaciones</v>
      </c>
      <c r="C317" s="530">
        <f>+'Datos a presupuestar'!C317-'Datos de desfinanciación'!C182</f>
        <v>234699005</v>
      </c>
      <c r="D317" s="350"/>
    </row>
    <row r="318" spans="1:4" ht="14.25">
      <c r="A318" s="529">
        <f>+IF('Datos a presupuestar'!A318=0,"",'Datos a presupuestar'!A318)</f>
        <v>3300200</v>
      </c>
      <c r="B318" s="242" t="str">
        <f>+IF('Datos a presupuestar'!B318=0,"",'Datos a presupuestar'!B318)</f>
        <v>Destinatarios de otras transferencias</v>
      </c>
      <c r="C318" s="530">
        <f>SUM(C319:C321)</f>
        <v>7050000</v>
      </c>
      <c r="D318" s="229"/>
    </row>
    <row r="319" spans="1:4" ht="12.75">
      <c r="A319" s="532" t="str">
        <f>+IF('Datos a presupuestar'!A319=0,"",'Datos a presupuestar'!A319)</f>
        <v>3300200-1</v>
      </c>
      <c r="B319" s="251" t="str">
        <f>+IF('Datos a presupuestar'!B319=0,"",'Datos a presupuestar'!B319)</f>
        <v>COHAN</v>
      </c>
      <c r="C319" s="533">
        <f>+'Datos a presupuestar'!C319-'Datos de desfinanciación'!C184</f>
        <v>3800000</v>
      </c>
      <c r="D319" s="229"/>
    </row>
    <row r="320" spans="1:4" ht="12.75">
      <c r="A320" s="532" t="str">
        <f>+IF('Datos a presupuestar'!A320=0,"",'Datos a presupuestar'!A320)</f>
        <v>3300200-2</v>
      </c>
      <c r="B320" s="251" t="str">
        <f>+IF('Datos a presupuestar'!B320=0,"",'Datos a presupuestar'!B320)</f>
        <v>AESA</v>
      </c>
      <c r="C320" s="533">
        <f>+'Datos a presupuestar'!C320-'Datos de desfinanciación'!C185</f>
        <v>3250000</v>
      </c>
      <c r="D320" s="229"/>
    </row>
    <row r="321" spans="1:4" ht="12.75">
      <c r="A321" s="532" t="str">
        <f>+IF('Datos a presupuestar'!A321=0,"",'Datos a presupuestar'!A321)</f>
        <v>3300200-3</v>
      </c>
      <c r="B321" s="251" t="str">
        <f>+IF('Datos a presupuestar'!B321=0,"",'Datos a presupuestar'!B321)</f>
        <v>OTRAS </v>
      </c>
      <c r="C321" s="533">
        <f>+'Datos a presupuestar'!C321-'Datos de desfinanciación'!C186</f>
        <v>0</v>
      </c>
      <c r="D321" s="229"/>
    </row>
    <row r="322" spans="1:4" ht="14.25">
      <c r="A322" s="534">
        <f>+IF('Datos a presupuestar'!A322=0,"",'Datos a presupuestar'!A322)</f>
        <v>3399999</v>
      </c>
      <c r="B322" s="250" t="str">
        <f>+IF('Datos a presupuestar'!B322=0,"",'Datos a presupuestar'!B322)</f>
        <v>Vigencias Anteriores</v>
      </c>
      <c r="C322" s="530">
        <f>+'Datos a presupuestar'!C322-'Datos de desfinanciación'!C187</f>
        <v>0</v>
      </c>
      <c r="D322" s="229"/>
    </row>
    <row r="323" spans="1:4" ht="15" thickBot="1">
      <c r="A323" s="534">
        <f>+IF('Datos a presupuestar'!A323=0,"",'Datos a presupuestar'!A323)</f>
      </c>
      <c r="B323" s="250"/>
      <c r="C323" s="530"/>
      <c r="D323" s="229"/>
    </row>
    <row r="324" spans="1:4" ht="36">
      <c r="A324" s="266" t="str">
        <f>+IF('Datos a presupuestar'!A324=0,"",'Datos a presupuestar'!A324)</f>
        <v>B</v>
      </c>
      <c r="B324" s="447" t="str">
        <f>+IF('Datos a presupuestar'!B324=0,"",'Datos a presupuestar'!B324)</f>
        <v>GASTOS DE OPERACION COMERCIAL Y PRESTACION DE SERVICIOS</v>
      </c>
      <c r="C324" s="267">
        <f>+'Datos a presupuestar'!C324-'Datos de desfinanciación'!C189</f>
        <v>11712099059</v>
      </c>
      <c r="D324" s="229"/>
    </row>
    <row r="325" spans="1:4" s="363" customFormat="1" ht="14.25">
      <c r="A325" s="534">
        <f>+IF('Datos a presupuestar'!A325=0,"",'Datos a presupuestar'!A325)</f>
      </c>
      <c r="B325" s="250"/>
      <c r="C325" s="530"/>
      <c r="D325" s="362"/>
    </row>
    <row r="326" spans="1:5" ht="16.5">
      <c r="A326" s="526">
        <f>+IF('Datos a presupuestar'!A326=0,"",'Datos a presupuestar'!A326)</f>
        <v>4000000</v>
      </c>
      <c r="B326" s="245" t="str">
        <f>+IF('Datos a presupuestar'!B326=0,"",'Datos a presupuestar'!B326)</f>
        <v>GASTOS  DE PRESTACION DE SERVICIOS</v>
      </c>
      <c r="C326" s="519">
        <f>C328+C343</f>
        <v>11712099059</v>
      </c>
      <c r="D326" s="229"/>
      <c r="E326" s="333"/>
    </row>
    <row r="327" spans="1:5" s="248" customFormat="1" ht="16.5">
      <c r="A327" s="512">
        <f>+IF('Datos a presupuestar'!A327=0,"",'Datos a presupuestar'!A327)</f>
      </c>
      <c r="B327" s="477">
        <f>+IF('Datos a presupuestar'!B327=0,"",'Datos a presupuestar'!B327)</f>
      </c>
      <c r="C327" s="513"/>
      <c r="D327" s="246"/>
      <c r="E327" s="349"/>
    </row>
    <row r="328" spans="1:4" ht="15">
      <c r="A328" s="527">
        <f>+IF('Datos a presupuestar'!A328=0,"",'Datos a presupuestar'!A328)</f>
        <v>4100000</v>
      </c>
      <c r="B328" s="249" t="str">
        <f>+IF('Datos a presupuestar'!B328=0,"",'Datos a presupuestar'!B328)</f>
        <v>Insumos y Suministros Hospitalarios</v>
      </c>
      <c r="C328" s="528">
        <f>C329+C337+C341</f>
        <v>11712099059</v>
      </c>
      <c r="D328" s="229"/>
    </row>
    <row r="329" spans="1:4" s="351" customFormat="1" ht="15">
      <c r="A329" s="529">
        <f>+IF('Datos a presupuestar'!A329=0,"",'Datos a presupuestar'!A329)</f>
        <v>4100100</v>
      </c>
      <c r="B329" s="242" t="str">
        <f>+IF('Datos a presupuestar'!B329=0,"",'Datos a presupuestar'!B329)</f>
        <v>Compra de Bienes para la Prestacion de servicios</v>
      </c>
      <c r="C329" s="530">
        <f>SUM(C330:C336)</f>
        <v>10209557059</v>
      </c>
      <c r="D329" s="350"/>
    </row>
    <row r="330" spans="1:4" ht="12.75">
      <c r="A330" s="532" t="str">
        <f>+IF('Datos a presupuestar'!A330=0,"",'Datos a presupuestar'!A330)</f>
        <v>4100100-1</v>
      </c>
      <c r="B330" s="251" t="str">
        <f>+IF('Datos a presupuestar'!B330=0,"",'Datos a presupuestar'!B330)</f>
        <v>Productos Farmaceuticos</v>
      </c>
      <c r="C330" s="533">
        <f>+'Datos a presupuestar'!C330-'Datos de desfinanciación'!C195</f>
        <v>4100005100</v>
      </c>
      <c r="D330" s="229"/>
    </row>
    <row r="331" spans="1:12" s="229" customFormat="1" ht="12.75">
      <c r="A331" s="532" t="str">
        <f>+IF('Datos a presupuestar'!A331=0,"",'Datos a presupuestar'!A331)</f>
        <v>4100100-2</v>
      </c>
      <c r="B331" s="251" t="str">
        <f>+IF('Datos a presupuestar'!B331=0,"",'Datos a presupuestar'!B331)</f>
        <v>Material Médico Quirúrgico</v>
      </c>
      <c r="C331" s="533">
        <f>+'Datos a presupuestar'!C331-'Datos de desfinanciación'!C196</f>
        <v>3873000690</v>
      </c>
      <c r="E331" s="228"/>
      <c r="F331" s="228"/>
      <c r="G331" s="228"/>
      <c r="H331" s="228"/>
      <c r="I331" s="228"/>
      <c r="J331" s="228"/>
      <c r="K331" s="228"/>
      <c r="L331" s="228"/>
    </row>
    <row r="332" spans="1:12" s="229" customFormat="1" ht="12.75">
      <c r="A332" s="532" t="str">
        <f>+IF('Datos a presupuestar'!A332=0,"",'Datos a presupuestar'!A332)</f>
        <v>4100100-3</v>
      </c>
      <c r="B332" s="251" t="str">
        <f>+IF('Datos a presupuestar'!B332=0,"",'Datos a presupuestar'!B332)</f>
        <v>Material de Laboratorio</v>
      </c>
      <c r="C332" s="533">
        <f>+'Datos a presupuestar'!C332-'Datos de desfinanciación'!C197</f>
        <v>1602100050</v>
      </c>
      <c r="E332" s="228"/>
      <c r="F332" s="228"/>
      <c r="G332" s="228"/>
      <c r="H332" s="228"/>
      <c r="I332" s="228"/>
      <c r="J332" s="228"/>
      <c r="K332" s="228"/>
      <c r="L332" s="228"/>
    </row>
    <row r="333" spans="1:12" s="229" customFormat="1" ht="12.75">
      <c r="A333" s="532" t="str">
        <f>+IF('Datos a presupuestar'!A333=0,"",'Datos a presupuestar'!A333)</f>
        <v>4100100-4</v>
      </c>
      <c r="B333" s="251" t="str">
        <f>+IF('Datos a presupuestar'!B333=0,"",'Datos a presupuestar'!B333)</f>
        <v>Material para Odontologia</v>
      </c>
      <c r="C333" s="533">
        <f>+'Datos a presupuestar'!C333-'Datos de desfinanciación'!C198</f>
        <v>0</v>
      </c>
      <c r="E333" s="228"/>
      <c r="F333" s="228"/>
      <c r="G333" s="228"/>
      <c r="H333" s="228"/>
      <c r="I333" s="228"/>
      <c r="J333" s="228"/>
      <c r="K333" s="228"/>
      <c r="L333" s="228"/>
    </row>
    <row r="334" spans="1:12" s="229" customFormat="1" ht="12.75">
      <c r="A334" s="532" t="str">
        <f>+IF('Datos a presupuestar'!A334=0,"",'Datos a presupuestar'!A334)</f>
        <v>4100100-5</v>
      </c>
      <c r="B334" s="251" t="str">
        <f>+IF('Datos a presupuestar'!B334=0,"",'Datos a presupuestar'!B334)</f>
        <v>Material para Rayos X</v>
      </c>
      <c r="C334" s="533">
        <f>+'Datos a presupuestar'!C334-'Datos de desfinanciación'!C199</f>
        <v>634451219</v>
      </c>
      <c r="E334" s="228"/>
      <c r="F334" s="228"/>
      <c r="G334" s="228"/>
      <c r="H334" s="228"/>
      <c r="I334" s="228"/>
      <c r="J334" s="228"/>
      <c r="K334" s="228"/>
      <c r="L334" s="228"/>
    </row>
    <row r="335" spans="1:12" s="229" customFormat="1" ht="12.75">
      <c r="A335" s="532" t="str">
        <f>+IF('Datos a presupuestar'!A335=0,"",'Datos a presupuestar'!A335)</f>
        <v>4100100-6</v>
      </c>
      <c r="B335" s="251">
        <f>+IF('Datos a presupuestar'!B335=0,"",'Datos a presupuestar'!B335)</f>
      </c>
      <c r="C335" s="533">
        <f>+'Datos a presupuestar'!C335-'Datos de desfinanciación'!C200</f>
        <v>0</v>
      </c>
      <c r="E335" s="228"/>
      <c r="F335" s="228"/>
      <c r="G335" s="228"/>
      <c r="H335" s="228"/>
      <c r="I335" s="228"/>
      <c r="J335" s="228"/>
      <c r="K335" s="228"/>
      <c r="L335" s="228"/>
    </row>
    <row r="336" spans="1:12" s="229" customFormat="1" ht="12.75">
      <c r="A336" s="532" t="str">
        <f>+IF('Datos a presupuestar'!A336=0,"",'Datos a presupuestar'!A336)</f>
        <v>4100100-7</v>
      </c>
      <c r="B336" s="251">
        <f>+IF('Datos a presupuestar'!B336=0,"",'Datos a presupuestar'!B336)</f>
      </c>
      <c r="C336" s="533">
        <f>+'Datos a presupuestar'!C336-'Datos de desfinanciación'!C201</f>
        <v>0</v>
      </c>
      <c r="E336" s="228"/>
      <c r="F336" s="228"/>
      <c r="G336" s="228"/>
      <c r="H336" s="228"/>
      <c r="I336" s="228"/>
      <c r="J336" s="228"/>
      <c r="K336" s="228"/>
      <c r="L336" s="228"/>
    </row>
    <row r="337" spans="1:12" s="229" customFormat="1" ht="14.25">
      <c r="A337" s="529">
        <f>+IF('Datos a presupuestar'!A337=0,"",'Datos a presupuestar'!A337)</f>
        <v>4100200</v>
      </c>
      <c r="B337" s="242" t="str">
        <f>+IF('Datos a presupuestar'!B337=0,"",'Datos a presupuestar'!B337)</f>
        <v>Gastos Complementarios e Intermedios</v>
      </c>
      <c r="C337" s="530">
        <f>SUM(C338:C340)</f>
        <v>1502542000</v>
      </c>
      <c r="E337" s="228"/>
      <c r="F337" s="228"/>
      <c r="G337" s="228"/>
      <c r="H337" s="228"/>
      <c r="I337" s="228"/>
      <c r="J337" s="228"/>
      <c r="K337" s="228"/>
      <c r="L337" s="228"/>
    </row>
    <row r="338" spans="1:12" s="229" customFormat="1" ht="12.75">
      <c r="A338" s="532" t="str">
        <f>+IF('Datos a presupuestar'!A338=0,"",'Datos a presupuestar'!A338)</f>
        <v>4100200-1</v>
      </c>
      <c r="B338" s="251" t="str">
        <f>+IF('Datos a presupuestar'!B338=0,"",'Datos a presupuestar'!B338)</f>
        <v>     Alimentación</v>
      </c>
      <c r="C338" s="533">
        <f>+'Datos a presupuestar'!C338-'Datos de desfinanciación'!C203</f>
        <v>1502542000</v>
      </c>
      <c r="E338" s="228"/>
      <c r="F338" s="228"/>
      <c r="G338" s="228"/>
      <c r="H338" s="228"/>
      <c r="I338" s="228"/>
      <c r="J338" s="228"/>
      <c r="K338" s="228"/>
      <c r="L338" s="228"/>
    </row>
    <row r="339" spans="1:12" s="229" customFormat="1" ht="12.75">
      <c r="A339" s="532" t="str">
        <f>+IF('Datos a presupuestar'!A339=0,"",'Datos a presupuestar'!A339)</f>
        <v>4100200-2</v>
      </c>
      <c r="B339" s="251">
        <f>+IF('Datos a presupuestar'!B339=0,"",'Datos a presupuestar'!B339)</f>
      </c>
      <c r="C339" s="533">
        <f>+'Datos a presupuestar'!C339-'Datos de desfinanciación'!C204</f>
        <v>0</v>
      </c>
      <c r="E339" s="228"/>
      <c r="F339" s="228"/>
      <c r="G339" s="228"/>
      <c r="H339" s="228"/>
      <c r="I339" s="228"/>
      <c r="J339" s="228"/>
      <c r="K339" s="228"/>
      <c r="L339" s="228"/>
    </row>
    <row r="340" spans="1:12" s="229" customFormat="1" ht="12.75">
      <c r="A340" s="532" t="str">
        <f>+IF('Datos a presupuestar'!A340=0,"",'Datos a presupuestar'!A340)</f>
        <v>4100200-3</v>
      </c>
      <c r="B340" s="251">
        <f>+IF('Datos a presupuestar'!B340=0,"",'Datos a presupuestar'!B340)</f>
      </c>
      <c r="C340" s="533">
        <f>+'Datos a presupuestar'!C340-'Datos de desfinanciación'!C205</f>
        <v>0</v>
      </c>
      <c r="E340" s="228"/>
      <c r="F340" s="228"/>
      <c r="G340" s="228"/>
      <c r="H340" s="228"/>
      <c r="I340" s="228"/>
      <c r="J340" s="228"/>
      <c r="K340" s="228"/>
      <c r="L340" s="228"/>
    </row>
    <row r="341" spans="1:12" s="229" customFormat="1" ht="14.25">
      <c r="A341" s="534">
        <f>+IF('Datos a presupuestar'!A341=0,"",'Datos a presupuestar'!A341)</f>
        <v>4199999</v>
      </c>
      <c r="B341" s="250" t="str">
        <f>+IF('Datos a presupuestar'!B341=0,"",'Datos a presupuestar'!B341)</f>
        <v>Vigencias Anteriores</v>
      </c>
      <c r="C341" s="530">
        <f>+'Datos a presupuestar'!C341-'Datos de desfinanciación'!C206</f>
        <v>0</v>
      </c>
      <c r="E341" s="228"/>
      <c r="F341" s="228"/>
      <c r="G341" s="228"/>
      <c r="H341" s="228"/>
      <c r="I341" s="228"/>
      <c r="J341" s="228"/>
      <c r="K341" s="228"/>
      <c r="L341" s="228"/>
    </row>
    <row r="342" spans="1:12" s="362" customFormat="1" ht="12.75">
      <c r="A342" s="512">
        <f>+IF('Datos a presupuestar'!A342=0,"",'Datos a presupuestar'!A342)</f>
      </c>
      <c r="B342" s="477">
        <f>+IF('Datos a presupuestar'!B342=0,"",'Datos a presupuestar'!B342)</f>
      </c>
      <c r="C342" s="477">
        <f>+IF('Datos a presupuestar'!C342=0,"",'Datos a presupuestar'!C342)</f>
      </c>
      <c r="E342" s="363"/>
      <c r="F342" s="363"/>
      <c r="G342" s="363"/>
      <c r="H342" s="363"/>
      <c r="I342" s="363"/>
      <c r="J342" s="363"/>
      <c r="K342" s="363"/>
      <c r="L342" s="363"/>
    </row>
    <row r="343" spans="1:4" ht="15.75">
      <c r="A343" s="505">
        <f>+IF('Datos a presupuestar'!A343=0,"",'Datos a presupuestar'!A343)</f>
        <v>5000000</v>
      </c>
      <c r="B343" s="218" t="str">
        <f>+IF('Datos a presupuestar'!B343=0,"",'Datos a presupuestar'!B343)</f>
        <v>GASTOS DE COMERCIALIZACION</v>
      </c>
      <c r="C343" s="506">
        <f>C345</f>
        <v>0</v>
      </c>
      <c r="D343" s="229"/>
    </row>
    <row r="344" spans="1:4" ht="12.75">
      <c r="A344" s="512">
        <f>+IF('Datos a presupuestar'!A344=0,"",'Datos a presupuestar'!A344)</f>
      </c>
      <c r="B344" s="477">
        <f>+IF('Datos a presupuestar'!B344=0,"",'Datos a presupuestar'!B344)</f>
      </c>
      <c r="C344" s="513"/>
      <c r="D344" s="229"/>
    </row>
    <row r="345" spans="1:4" ht="15">
      <c r="A345" s="527">
        <f>+IF('Datos a presupuestar'!A345=0,"",'Datos a presupuestar'!A345)</f>
        <v>5100000</v>
      </c>
      <c r="B345" s="249" t="str">
        <f>+IF('Datos a presupuestar'!B345=0,"",'Datos a presupuestar'!B345)</f>
        <v>Insumos y Suministros para Venta al Público</v>
      </c>
      <c r="C345" s="528">
        <f>C346+C355</f>
        <v>0</v>
      </c>
      <c r="D345" s="229"/>
    </row>
    <row r="346" spans="1:4" s="351" customFormat="1" ht="15">
      <c r="A346" s="529">
        <f>+IF('Datos a presupuestar'!A346=0,"",'Datos a presupuestar'!A346)</f>
        <v>5100100</v>
      </c>
      <c r="B346" s="242" t="str">
        <f>+IF('Datos a presupuestar'!B346=0,"",'Datos a presupuestar'!B346)</f>
        <v>Compra de Bienes para la venta</v>
      </c>
      <c r="C346" s="530">
        <f>SUM(C347:C354)</f>
        <v>0</v>
      </c>
      <c r="D346" s="350"/>
    </row>
    <row r="347" spans="1:4" ht="12.75">
      <c r="A347" s="532" t="str">
        <f>+IF('Datos a presupuestar'!A347=0,"",'Datos a presupuestar'!A347)</f>
        <v>5100100-1</v>
      </c>
      <c r="B347" s="251" t="str">
        <f>+IF('Datos a presupuestar'!B347=0,"",'Datos a presupuestar'!B347)</f>
        <v>Productos Farmaceuticos</v>
      </c>
      <c r="C347" s="533">
        <f>+'Datos a presupuestar'!C347-'Datos de desfinanciación'!C212</f>
        <v>0</v>
      </c>
      <c r="D347" s="229"/>
    </row>
    <row r="348" spans="1:12" s="229" customFormat="1" ht="12.75">
      <c r="A348" s="532" t="str">
        <f>+IF('Datos a presupuestar'!A348=0,"",'Datos a presupuestar'!A348)</f>
        <v>5100100-2</v>
      </c>
      <c r="B348" s="251" t="str">
        <f>+IF('Datos a presupuestar'!B348=0,"",'Datos a presupuestar'!B348)</f>
        <v>Material Médico Quirúrgico</v>
      </c>
      <c r="C348" s="533">
        <f>+'Datos a presupuestar'!C348-'Datos de desfinanciación'!C213</f>
        <v>0</v>
      </c>
      <c r="E348" s="228"/>
      <c r="F348" s="228"/>
      <c r="G348" s="228"/>
      <c r="H348" s="228"/>
      <c r="I348" s="228"/>
      <c r="J348" s="228"/>
      <c r="K348" s="228"/>
      <c r="L348" s="228"/>
    </row>
    <row r="349" spans="1:12" s="229" customFormat="1" ht="12.75">
      <c r="A349" s="532" t="str">
        <f>+IF('Datos a presupuestar'!A349=0,"",'Datos a presupuestar'!A349)</f>
        <v>5100100-3</v>
      </c>
      <c r="B349" s="251" t="str">
        <f>+IF('Datos a presupuestar'!B349=0,"",'Datos a presupuestar'!B349)</f>
        <v>Material de Laboratorio</v>
      </c>
      <c r="C349" s="533">
        <f>+'Datos a presupuestar'!C349-'Datos de desfinanciación'!C214</f>
        <v>0</v>
      </c>
      <c r="E349" s="228"/>
      <c r="F349" s="228"/>
      <c r="G349" s="228"/>
      <c r="H349" s="228"/>
      <c r="I349" s="228"/>
      <c r="J349" s="228"/>
      <c r="K349" s="228"/>
      <c r="L349" s="228"/>
    </row>
    <row r="350" spans="1:12" s="229" customFormat="1" ht="12.75">
      <c r="A350" s="532" t="str">
        <f>+IF('Datos a presupuestar'!A350=0,"",'Datos a presupuestar'!A350)</f>
        <v>5100100-4</v>
      </c>
      <c r="B350" s="251" t="str">
        <f>+IF('Datos a presupuestar'!B350=0,"",'Datos a presupuestar'!B350)</f>
        <v>Material para Odontologia</v>
      </c>
      <c r="C350" s="533">
        <f>+'Datos a presupuestar'!C350-'Datos de desfinanciación'!C215</f>
        <v>0</v>
      </c>
      <c r="E350" s="228"/>
      <c r="F350" s="228"/>
      <c r="G350" s="228"/>
      <c r="H350" s="228"/>
      <c r="I350" s="228"/>
      <c r="J350" s="228"/>
      <c r="K350" s="228"/>
      <c r="L350" s="228"/>
    </row>
    <row r="351" spans="1:12" s="229" customFormat="1" ht="12.75">
      <c r="A351" s="532" t="str">
        <f>+IF('Datos a presupuestar'!A351=0,"",'Datos a presupuestar'!A351)</f>
        <v>5100100-5</v>
      </c>
      <c r="B351" s="251" t="str">
        <f>+IF('Datos a presupuestar'!B351=0,"",'Datos a presupuestar'!B351)</f>
        <v>Material para Rayos X</v>
      </c>
      <c r="C351" s="533">
        <f>+'Datos a presupuestar'!C351-'Datos de desfinanciación'!C216</f>
        <v>0</v>
      </c>
      <c r="E351" s="228"/>
      <c r="F351" s="228"/>
      <c r="G351" s="228"/>
      <c r="H351" s="228"/>
      <c r="I351" s="228"/>
      <c r="J351" s="228"/>
      <c r="K351" s="228"/>
      <c r="L351" s="228"/>
    </row>
    <row r="352" spans="1:12" s="229" customFormat="1" ht="12.75">
      <c r="A352" s="532" t="str">
        <f>+IF('Datos a presupuestar'!A352=0,"",'Datos a presupuestar'!A352)</f>
        <v>5100100-6</v>
      </c>
      <c r="B352" s="251" t="str">
        <f>+IF('Datos a presupuestar'!B352=0,"",'Datos a presupuestar'!B352)</f>
        <v>Material aseo personal, etc.</v>
      </c>
      <c r="C352" s="533">
        <f>+'Datos a presupuestar'!C352-'Datos de desfinanciación'!C217</f>
        <v>0</v>
      </c>
      <c r="E352" s="228"/>
      <c r="F352" s="228"/>
      <c r="G352" s="228"/>
      <c r="H352" s="228"/>
      <c r="I352" s="228"/>
      <c r="J352" s="228"/>
      <c r="K352" s="228"/>
      <c r="L352" s="228"/>
    </row>
    <row r="353" spans="1:12" s="229" customFormat="1" ht="12.75">
      <c r="A353" s="532" t="str">
        <f>+IF('Datos a presupuestar'!A353=0,"",'Datos a presupuestar'!A353)</f>
        <v>5100100-7</v>
      </c>
      <c r="B353" s="251">
        <f>+IF('Datos a presupuestar'!B353=0,"",'Datos a presupuestar'!B353)</f>
      </c>
      <c r="C353" s="533">
        <f>+'Datos a presupuestar'!C353-'Datos de desfinanciación'!C218</f>
        <v>0</v>
      </c>
      <c r="E353" s="228"/>
      <c r="F353" s="228"/>
      <c r="G353" s="228"/>
      <c r="H353" s="228"/>
      <c r="I353" s="228"/>
      <c r="J353" s="228"/>
      <c r="K353" s="228"/>
      <c r="L353" s="228"/>
    </row>
    <row r="354" spans="1:12" s="229" customFormat="1" ht="12.75">
      <c r="A354" s="532" t="str">
        <f>+IF('Datos a presupuestar'!A354=0,"",'Datos a presupuestar'!A354)</f>
        <v>5100100-8</v>
      </c>
      <c r="B354" s="251">
        <f>+IF('Datos a presupuestar'!B354=0,"",'Datos a presupuestar'!B354)</f>
      </c>
      <c r="C354" s="533">
        <f>+'Datos a presupuestar'!C354-'Datos de desfinanciación'!C219</f>
        <v>0</v>
      </c>
      <c r="E354" s="228"/>
      <c r="F354" s="228"/>
      <c r="G354" s="228"/>
      <c r="H354" s="228"/>
      <c r="I354" s="228"/>
      <c r="J354" s="228"/>
      <c r="K354" s="228"/>
      <c r="L354" s="228"/>
    </row>
    <row r="355" spans="1:12" s="229" customFormat="1" ht="14.25">
      <c r="A355" s="534">
        <f>+IF('Datos a presupuestar'!A355=0,"",'Datos a presupuestar'!A355)</f>
        <v>5199999</v>
      </c>
      <c r="B355" s="250" t="str">
        <f>+IF('Datos a presupuestar'!B355=0,"",'Datos a presupuestar'!B355)</f>
        <v>Vigencias Anteriores</v>
      </c>
      <c r="C355" s="530">
        <f>+'Datos a presupuestar'!C355-'Datos de desfinanciación'!C220</f>
        <v>0</v>
      </c>
      <c r="E355" s="228"/>
      <c r="F355" s="228"/>
      <c r="G355" s="228"/>
      <c r="H355" s="228"/>
      <c r="I355" s="228"/>
      <c r="J355" s="228"/>
      <c r="K355" s="228"/>
      <c r="L355" s="228"/>
    </row>
    <row r="356" spans="1:12" s="362" customFormat="1" ht="12.75">
      <c r="A356" s="512">
        <f>+IF('Datos a presupuestar'!A356=0,"",'Datos a presupuestar'!A356)</f>
      </c>
      <c r="B356" s="477">
        <f>+IF('Datos a presupuestar'!B356=0,"",'Datos a presupuestar'!B356)</f>
      </c>
      <c r="C356" s="513"/>
      <c r="E356" s="363"/>
      <c r="F356" s="363"/>
      <c r="G356" s="363"/>
      <c r="H356" s="363"/>
      <c r="I356" s="363"/>
      <c r="J356" s="363"/>
      <c r="K356" s="363"/>
      <c r="L356" s="363"/>
    </row>
    <row r="357" spans="1:6" s="229" customFormat="1" ht="18">
      <c r="A357" s="510" t="str">
        <f>+IF('Datos a presupuestar'!A357=0,"",'Datos a presupuestar'!A357)</f>
        <v>C</v>
      </c>
      <c r="B357" s="480" t="str">
        <f>+IF('Datos a presupuestar'!B357=0,"",'Datos a presupuestar'!B357)</f>
        <v>SERVICIO DE LA DEUDA </v>
      </c>
      <c r="C357" s="511">
        <f>C359+C364</f>
        <v>0</v>
      </c>
      <c r="E357" s="333"/>
      <c r="F357" s="335"/>
    </row>
    <row r="358" spans="1:4" ht="12.75">
      <c r="A358" s="512">
        <f>+IF('Datos a presupuestar'!A358=0,"",'Datos a presupuestar'!A358)</f>
      </c>
      <c r="B358" s="477">
        <f>+IF('Datos a presupuestar'!B358=0,"",'Datos a presupuestar'!B358)</f>
      </c>
      <c r="C358" s="513"/>
      <c r="D358" s="229"/>
    </row>
    <row r="359" spans="1:4" ht="15.75">
      <c r="A359" s="505">
        <f>+IF('Datos a presupuestar'!A359=0,"",'Datos a presupuestar'!A359)</f>
        <v>7001000</v>
      </c>
      <c r="B359" s="218" t="str">
        <f>+IF('Datos a presupuestar'!B359=0,"",'Datos a presupuestar'!B359)</f>
        <v>SERVICIO DE LA DEUDA INTERNA</v>
      </c>
      <c r="C359" s="506">
        <f>SUM(C360:C362)</f>
        <v>0</v>
      </c>
      <c r="D359" s="229"/>
    </row>
    <row r="360" spans="1:4" ht="14.25">
      <c r="A360" s="529">
        <f>+IF('Datos a presupuestar'!A360=0,"",'Datos a presupuestar'!A360)</f>
        <v>7001100</v>
      </c>
      <c r="B360" s="242" t="str">
        <f>+IF('Datos a presupuestar'!B360=0,"",'Datos a presupuestar'!B360)</f>
        <v>Amortización deuda Pública Interna</v>
      </c>
      <c r="C360" s="530">
        <f>+'Datos a presupuestar'!C360-'Datos de desfinanciación'!C225</f>
        <v>0</v>
      </c>
      <c r="D360" s="229"/>
    </row>
    <row r="361" spans="1:4" ht="14.25">
      <c r="A361" s="529">
        <f>+IF('Datos a presupuestar'!A361=0,"",'Datos a presupuestar'!A361)</f>
        <v>7001200</v>
      </c>
      <c r="B361" s="242" t="str">
        <f>+IF('Datos a presupuestar'!B361=0,"",'Datos a presupuestar'!B361)</f>
        <v>Intereses Comisiones y gastos de la Deuda Pública</v>
      </c>
      <c r="C361" s="530">
        <f>+'Datos a presupuestar'!C361-'Datos de desfinanciación'!C226</f>
        <v>0</v>
      </c>
      <c r="D361" s="229"/>
    </row>
    <row r="362" spans="1:4" ht="14.25">
      <c r="A362" s="534">
        <f>+IF('Datos a presupuestar'!A362=0,"",'Datos a presupuestar'!A362)</f>
        <v>7001999</v>
      </c>
      <c r="B362" s="250" t="str">
        <f>+IF('Datos a presupuestar'!B362=0,"",'Datos a presupuestar'!B362)</f>
        <v>Vigencias Anteriores</v>
      </c>
      <c r="C362" s="530">
        <f>+'Datos a presupuestar'!C362-'Datos de desfinanciación'!C227</f>
        <v>0</v>
      </c>
      <c r="D362" s="229"/>
    </row>
    <row r="363" spans="1:12" s="362" customFormat="1" ht="12.75">
      <c r="A363" s="512">
        <f>+IF('Datos a presupuestar'!A363=0,"",'Datos a presupuestar'!A363)</f>
      </c>
      <c r="B363" s="477">
        <f>+IF('Datos a presupuestar'!B363=0,"",'Datos a presupuestar'!B363)</f>
      </c>
      <c r="C363" s="513"/>
      <c r="E363" s="363"/>
      <c r="F363" s="363"/>
      <c r="G363" s="363"/>
      <c r="H363" s="363"/>
      <c r="I363" s="363"/>
      <c r="J363" s="363"/>
      <c r="K363" s="363"/>
      <c r="L363" s="363"/>
    </row>
    <row r="364" spans="1:4" ht="15.75">
      <c r="A364" s="505">
        <f>+IF('Datos a presupuestar'!A364=0,"",'Datos a presupuestar'!A364)</f>
        <v>7002001</v>
      </c>
      <c r="B364" s="218" t="str">
        <f>+IF('Datos a presupuestar'!B364=0,"",'Datos a presupuestar'!B364)</f>
        <v>SERVICIO DE LA DEUDA EXTERNA</v>
      </c>
      <c r="C364" s="506">
        <f>SUM(C365:C367)</f>
        <v>0</v>
      </c>
      <c r="D364" s="229"/>
    </row>
    <row r="365" spans="1:4" ht="14.25">
      <c r="A365" s="529">
        <f>+IF('Datos a presupuestar'!A365=0,"",'Datos a presupuestar'!A365)</f>
        <v>7002100</v>
      </c>
      <c r="B365" s="242" t="str">
        <f>+IF('Datos a presupuestar'!B365=0,"",'Datos a presupuestar'!B365)</f>
        <v>Amortización deuda Pública Externa</v>
      </c>
      <c r="C365" s="530">
        <f>+'Datos a presupuestar'!C365-'Datos de desfinanciación'!C230</f>
        <v>0</v>
      </c>
      <c r="D365" s="229"/>
    </row>
    <row r="366" spans="1:4" ht="14.25">
      <c r="A366" s="529">
        <f>+IF('Datos a presupuestar'!A366=0,"",'Datos a presupuestar'!A366)</f>
        <v>7002200</v>
      </c>
      <c r="B366" s="242" t="str">
        <f>+IF('Datos a presupuestar'!B366=0,"",'Datos a presupuestar'!B366)</f>
        <v>Intereses Comisiones y gastos de la Deuda Pública</v>
      </c>
      <c r="C366" s="530">
        <f>+'Datos a presupuestar'!C366-'Datos de desfinanciación'!C231</f>
        <v>0</v>
      </c>
      <c r="D366" s="229"/>
    </row>
    <row r="367" spans="1:4" ht="14.25">
      <c r="A367" s="534">
        <f>+IF('Datos a presupuestar'!A367=0,"",'Datos a presupuestar'!A367)</f>
        <v>7002999</v>
      </c>
      <c r="B367" s="250" t="str">
        <f>+IF('Datos a presupuestar'!B367=0,"",'Datos a presupuestar'!B367)</f>
        <v>Vigencias Anteriores</v>
      </c>
      <c r="C367" s="530">
        <f>+'Datos a presupuestar'!C367-'Datos de desfinanciación'!C232</f>
        <v>0</v>
      </c>
      <c r="D367" s="229"/>
    </row>
    <row r="368" spans="1:12" s="362" customFormat="1" ht="12.75">
      <c r="A368" s="512">
        <f>+IF('Datos a presupuestar'!A368=0,"",'Datos a presupuestar'!A368)</f>
      </c>
      <c r="B368" s="477">
        <f>+IF('Datos a presupuestar'!B368=0,"",'Datos a presupuestar'!B368)</f>
      </c>
      <c r="C368" s="513"/>
      <c r="E368" s="363"/>
      <c r="F368" s="363"/>
      <c r="G368" s="363"/>
      <c r="H368" s="363"/>
      <c r="I368" s="363"/>
      <c r="J368" s="363"/>
      <c r="K368" s="363"/>
      <c r="L368" s="363"/>
    </row>
    <row r="369" spans="1:6" s="229" customFormat="1" ht="18">
      <c r="A369" s="510" t="str">
        <f>+IF('Datos a presupuestar'!A369=0,"",'Datos a presupuestar'!A369)</f>
        <v>D</v>
      </c>
      <c r="B369" s="480" t="str">
        <f>+IF('Datos a presupuestar'!B369=0,"",'Datos a presupuestar'!B369)</f>
        <v>INVERSION</v>
      </c>
      <c r="C369" s="511">
        <f>C371</f>
        <v>0</v>
      </c>
      <c r="E369" s="333"/>
      <c r="F369" s="335"/>
    </row>
    <row r="370" spans="1:4" ht="12.75">
      <c r="A370" s="512">
        <f>+IF('Datos a presupuestar'!A370=0,"",'Datos a presupuestar'!A370)</f>
      </c>
      <c r="B370" s="477">
        <f>+IF('Datos a presupuestar'!B370=0,"",'Datos a presupuestar'!B370)</f>
      </c>
      <c r="C370" s="513"/>
      <c r="D370" s="229"/>
    </row>
    <row r="371" spans="1:4" ht="15.75">
      <c r="A371" s="505">
        <f>+IF('Datos a presupuestar'!A371=0,"",'Datos a presupuestar'!A371)</f>
        <v>8000000</v>
      </c>
      <c r="B371" s="218" t="str">
        <f>+IF('Datos a presupuestar'!B371=0,"",'Datos a presupuestar'!B371)</f>
        <v>PROGRAMAS DE INVERSION</v>
      </c>
      <c r="C371" s="506">
        <f>C373+C381</f>
        <v>0</v>
      </c>
      <c r="D371" s="229"/>
    </row>
    <row r="372" spans="1:4" ht="12.75">
      <c r="A372" s="512">
        <f>+IF('Datos a presupuestar'!A372=0,"",'Datos a presupuestar'!A372)</f>
      </c>
      <c r="B372" s="477">
        <f>+IF('Datos a presupuestar'!B372=0,"",'Datos a presupuestar'!B372)</f>
      </c>
      <c r="C372" s="513"/>
      <c r="D372" s="229"/>
    </row>
    <row r="373" spans="1:4" ht="15">
      <c r="A373" s="527">
        <f>+IF('Datos a presupuestar'!A373=0,"",'Datos a presupuestar'!A373)</f>
        <v>8001000</v>
      </c>
      <c r="B373" s="249" t="str">
        <f>+IF('Datos a presupuestar'!B373=0,"",'Datos a presupuestar'!B373)</f>
        <v>Formación Bruta del Capital</v>
      </c>
      <c r="C373" s="528">
        <f>SUM(C374:C379)</f>
        <v>0</v>
      </c>
      <c r="D373" s="229"/>
    </row>
    <row r="374" spans="1:4" s="351" customFormat="1" ht="15">
      <c r="A374" s="529" t="str">
        <f>+IF('Datos a presupuestar'!A374=0,"",'Datos a presupuestar'!A374)</f>
        <v>8001000-1</v>
      </c>
      <c r="B374" s="242" t="str">
        <f>+IF('Datos a presupuestar'!B374=0,"",'Datos a presupuestar'!B374)</f>
        <v>Subprogr.Construc. Remodelac. Adecuación y Apliac.1</v>
      </c>
      <c r="C374" s="530">
        <f>+'Datos a presupuestar'!C374-'Datos de desfinanciación'!C239</f>
        <v>0</v>
      </c>
      <c r="D374" s="350"/>
    </row>
    <row r="375" spans="1:4" ht="14.25">
      <c r="A375" s="529" t="str">
        <f>+IF('Datos a presupuestar'!A375=0,"",'Datos a presupuestar'!A375)</f>
        <v>8001000-2</v>
      </c>
      <c r="B375" s="242" t="str">
        <f>+IF('Datos a presupuestar'!B375=0,"",'Datos a presupuestar'!B375)</f>
        <v>Subprogr.Construc. Remodelac. Adecuación y Apliac.2</v>
      </c>
      <c r="C375" s="530">
        <f>+'Datos a presupuestar'!C375-'Datos de desfinanciación'!C240</f>
        <v>0</v>
      </c>
      <c r="D375" s="229"/>
    </row>
    <row r="376" spans="1:4" ht="14.25">
      <c r="A376" s="529" t="str">
        <f>+IF('Datos a presupuestar'!A376=0,"",'Datos a presupuestar'!A376)</f>
        <v>8001000-3</v>
      </c>
      <c r="B376" s="242" t="str">
        <f>+IF('Datos a presupuestar'!B376=0,"",'Datos a presupuestar'!B376)</f>
        <v>Subprogr.Construc. Remodelac. Adecuación y Apliac.3</v>
      </c>
      <c r="C376" s="530">
        <f>+'Datos a presupuestar'!C376-'Datos de desfinanciación'!C241</f>
        <v>0</v>
      </c>
      <c r="D376" s="229"/>
    </row>
    <row r="377" spans="1:4" ht="14.25">
      <c r="A377" s="529" t="str">
        <f>+IF('Datos a presupuestar'!A377=0,"",'Datos a presupuestar'!A377)</f>
        <v>8001000-4</v>
      </c>
      <c r="B377" s="242" t="str">
        <f>+IF('Datos a presupuestar'!B377=0,"",'Datos a presupuestar'!B377)</f>
        <v>Subprogr.Construc. Remodelac. Adecuación y Apliac.4</v>
      </c>
      <c r="C377" s="530">
        <f>+'Datos a presupuestar'!C377-'Datos de desfinanciación'!C242</f>
        <v>0</v>
      </c>
      <c r="D377" s="229"/>
    </row>
    <row r="378" spans="1:4" ht="14.25">
      <c r="A378" s="529" t="str">
        <f>+IF('Datos a presupuestar'!A378=0,"",'Datos a presupuestar'!A378)</f>
        <v>8001000-5</v>
      </c>
      <c r="B378" s="242" t="str">
        <f>+IF('Datos a presupuestar'!B378=0,"",'Datos a presupuestar'!B378)</f>
        <v>Subprogr.Construc. Remodelac. Adecuación y Apliac.5</v>
      </c>
      <c r="C378" s="530">
        <f>+'Datos a presupuestar'!C378-'Datos de desfinanciación'!C243</f>
        <v>0</v>
      </c>
      <c r="D378" s="229"/>
    </row>
    <row r="379" spans="1:4" ht="14.25">
      <c r="A379" s="534">
        <f>+IF('Datos a presupuestar'!A379=0,"",'Datos a presupuestar'!A379)</f>
        <v>8001999</v>
      </c>
      <c r="B379" s="250" t="str">
        <f>+IF('Datos a presupuestar'!B379=0,"",'Datos a presupuestar'!B379)</f>
        <v>Vigencias Anteriores</v>
      </c>
      <c r="C379" s="530">
        <f>+'Datos a presupuestar'!C379-'Datos de desfinanciación'!C244</f>
        <v>0</v>
      </c>
      <c r="D379" s="229"/>
    </row>
    <row r="380" spans="1:4" s="363" customFormat="1" ht="12.75">
      <c r="A380" s="512">
        <f>+IF('Datos a presupuestar'!A380=0,"",'Datos a presupuestar'!A380)</f>
      </c>
      <c r="B380" s="477">
        <f>+IF('Datos a presupuestar'!B380=0,"",'Datos a presupuestar'!B380)</f>
      </c>
      <c r="C380" s="513"/>
      <c r="D380" s="362"/>
    </row>
    <row r="381" spans="1:4" ht="15">
      <c r="A381" s="527">
        <f>+IF('Datos a presupuestar'!A381=0,"",'Datos a presupuestar'!A381)</f>
        <v>8002001</v>
      </c>
      <c r="B381" s="249" t="str">
        <f>+IF('Datos a presupuestar'!B381=0,"",'Datos a presupuestar'!B381)</f>
        <v>Gastos Operativos de Inversion   (Programas Especiales)</v>
      </c>
      <c r="C381" s="528">
        <f>SUM(C382:C389)</f>
        <v>0</v>
      </c>
      <c r="D381" s="229"/>
    </row>
    <row r="382" spans="1:4" s="351" customFormat="1" ht="15">
      <c r="A382" s="529" t="str">
        <f>+IF('Datos a presupuestar'!A382=0,"",'Datos a presupuestar'!A382)</f>
        <v>8002100-1</v>
      </c>
      <c r="B382" s="242" t="str">
        <f>+IF('Datos a presupuestar'!B382=0,"",'Datos a presupuestar'!B382)</f>
        <v>Fondo de la Vivienda</v>
      </c>
      <c r="C382" s="530">
        <f>+'Datos a presupuestar'!C382-'Datos de desfinanciación'!C247</f>
        <v>0</v>
      </c>
      <c r="D382" s="350"/>
    </row>
    <row r="383" spans="1:4" ht="14.25">
      <c r="A383" s="529" t="str">
        <f>+IF('Datos a presupuestar'!A383=0,"",'Datos a presupuestar'!A383)</f>
        <v>8002100-2</v>
      </c>
      <c r="B383" s="242" t="str">
        <f>+IF('Datos a presupuestar'!B383=0,"",'Datos a presupuestar'!B383)</f>
        <v>Programas Especial 1</v>
      </c>
      <c r="C383" s="530">
        <f>+'Datos a presupuestar'!C383-'Datos de desfinanciación'!C248</f>
        <v>0</v>
      </c>
      <c r="D383" s="229"/>
    </row>
    <row r="384" spans="1:4" ht="14.25">
      <c r="A384" s="529" t="str">
        <f>+IF('Datos a presupuestar'!A384=0,"",'Datos a presupuestar'!A384)</f>
        <v>8002100-3</v>
      </c>
      <c r="B384" s="242" t="str">
        <f>+IF('Datos a presupuestar'!B384=0,"",'Datos a presupuestar'!B384)</f>
        <v>Programas Especial 2</v>
      </c>
      <c r="C384" s="530">
        <f>+'Datos a presupuestar'!C384-'Datos de desfinanciación'!C249</f>
        <v>0</v>
      </c>
      <c r="D384" s="229"/>
    </row>
    <row r="385" spans="1:4" ht="14.25">
      <c r="A385" s="529" t="str">
        <f>+IF('Datos a presupuestar'!A385=0,"",'Datos a presupuestar'!A385)</f>
        <v>8002100-4</v>
      </c>
      <c r="B385" s="242" t="str">
        <f>+IF('Datos a presupuestar'!B385=0,"",'Datos a presupuestar'!B385)</f>
        <v>Programas Especial 3</v>
      </c>
      <c r="C385" s="530">
        <f>+'Datos a presupuestar'!C385-'Datos de desfinanciación'!C250</f>
        <v>0</v>
      </c>
      <c r="D385" s="229"/>
    </row>
    <row r="386" spans="1:4" ht="14.25">
      <c r="A386" s="529" t="str">
        <f>+IF('Datos a presupuestar'!A386=0,"",'Datos a presupuestar'!A386)</f>
        <v>8002100-5</v>
      </c>
      <c r="B386" s="242" t="str">
        <f>+IF('Datos a presupuestar'!B386=0,"",'Datos a presupuestar'!B386)</f>
        <v>Programas Especial 4</v>
      </c>
      <c r="C386" s="530">
        <f>+'Datos a presupuestar'!C386-'Datos de desfinanciación'!C251</f>
        <v>0</v>
      </c>
      <c r="D386" s="229"/>
    </row>
    <row r="387" spans="1:4" ht="14.25">
      <c r="A387" s="529" t="str">
        <f>+IF('Datos a presupuestar'!A387=0,"",'Datos a presupuestar'!A387)</f>
        <v>8002100-6</v>
      </c>
      <c r="B387" s="242" t="str">
        <f>+IF('Datos a presupuestar'!B387=0,"",'Datos a presupuestar'!B387)</f>
        <v>Programas Especial 5</v>
      </c>
      <c r="C387" s="530">
        <f>+'Datos a presupuestar'!C387-'Datos de desfinanciación'!C252</f>
        <v>0</v>
      </c>
      <c r="D387" s="229"/>
    </row>
    <row r="388" spans="1:4" ht="14.25">
      <c r="A388" s="529" t="str">
        <f>+IF('Datos a presupuestar'!A388=0,"",'Datos a presupuestar'!A388)</f>
        <v>8002100-7</v>
      </c>
      <c r="B388" s="242" t="str">
        <f>+IF('Datos a presupuestar'!B388=0,"",'Datos a presupuestar'!B388)</f>
        <v>Programas Especial 6</v>
      </c>
      <c r="C388" s="530">
        <f>+'Datos a presupuestar'!C388-'Datos de desfinanciación'!C253</f>
        <v>0</v>
      </c>
      <c r="D388" s="229"/>
    </row>
    <row r="389" spans="1:4" ht="14.25">
      <c r="A389" s="534">
        <f>+IF('Datos a presupuestar'!A389=0,"",'Datos a presupuestar'!A389)</f>
        <v>8002999</v>
      </c>
      <c r="B389" s="250" t="str">
        <f>+IF('Datos a presupuestar'!B389=0,"",'Datos a presupuestar'!B389)</f>
        <v>Vigencias Anteriores</v>
      </c>
      <c r="C389" s="530">
        <f>+'Datos a presupuestar'!C389-'Datos de desfinanciación'!C254</f>
        <v>0</v>
      </c>
      <c r="D389" s="229"/>
    </row>
    <row r="390" spans="1:4" s="363" customFormat="1" ht="12.75">
      <c r="A390" s="512">
        <f>+IF('Datos a presupuestar'!A390=0,"",'Datos a presupuestar'!A390)</f>
      </c>
      <c r="B390" s="477">
        <f>+IF('Datos a presupuestar'!B390=0,"",'Datos a presupuestar'!B390)</f>
      </c>
      <c r="C390" s="513"/>
      <c r="D390" s="362"/>
    </row>
    <row r="391" spans="1:4" ht="18">
      <c r="A391" s="510" t="str">
        <f>+IF('Datos a presupuestar'!A391=0,"",'Datos a presupuestar'!A391)</f>
        <v>E</v>
      </c>
      <c r="B391" s="480" t="str">
        <f>+IF('Datos a presupuestar'!B391=0,"",'Datos a presupuestar'!B391)</f>
        <v>DISPONIBILIDAD FINAL</v>
      </c>
      <c r="C391" s="511">
        <v>0</v>
      </c>
      <c r="D391" s="229"/>
    </row>
    <row r="392" spans="1:4" ht="12">
      <c r="A392" s="540"/>
      <c r="B392" s="538"/>
      <c r="C392" s="541"/>
      <c r="D392" s="229"/>
    </row>
    <row r="393" spans="1:12" s="229" customFormat="1" ht="18">
      <c r="A393" s="542" t="s">
        <v>405</v>
      </c>
      <c r="B393" s="340"/>
      <c r="C393" s="543">
        <f>+C143-C394</f>
        <v>49154543228</v>
      </c>
      <c r="E393" s="228"/>
      <c r="F393" s="228"/>
      <c r="G393" s="228"/>
      <c r="H393" s="228"/>
      <c r="I393" s="228"/>
      <c r="J393" s="228"/>
      <c r="K393" s="228"/>
      <c r="L393" s="228"/>
    </row>
    <row r="394" spans="1:4" ht="18">
      <c r="A394" s="544" t="s">
        <v>603</v>
      </c>
      <c r="B394" s="340"/>
      <c r="C394" s="543">
        <f>SUMIF(B143:B391,A394,C143:C391)</f>
        <v>0</v>
      </c>
      <c r="D394" s="229"/>
    </row>
    <row r="395" spans="1:4" ht="18.75" thickBot="1">
      <c r="A395" s="545" t="s">
        <v>406</v>
      </c>
      <c r="B395" s="546"/>
      <c r="C395" s="547">
        <f>C394+C393</f>
        <v>49154543228</v>
      </c>
      <c r="D395" s="229"/>
    </row>
    <row r="396" ht="12">
      <c r="D396" s="229"/>
    </row>
    <row r="397" ht="12">
      <c r="D397" s="229"/>
    </row>
    <row r="398" ht="12" hidden="1">
      <c r="D398" s="229"/>
    </row>
    <row r="399" ht="12" hidden="1">
      <c r="D399" s="229"/>
    </row>
    <row r="400" ht="12" hidden="1">
      <c r="D400" s="229"/>
    </row>
    <row r="401" ht="12" hidden="1">
      <c r="D401" s="229"/>
    </row>
    <row r="402" ht="12" hidden="1">
      <c r="D402" s="229"/>
    </row>
    <row r="403" ht="12" hidden="1">
      <c r="D403" s="229"/>
    </row>
    <row r="404" ht="12" hidden="1">
      <c r="D404" s="229"/>
    </row>
    <row r="405" ht="12" hidden="1">
      <c r="D405" s="229"/>
    </row>
    <row r="406" ht="12" hidden="1">
      <c r="D406" s="229"/>
    </row>
    <row r="407" ht="12" hidden="1">
      <c r="D407" s="229"/>
    </row>
    <row r="408" ht="12" hidden="1">
      <c r="D408" s="229"/>
    </row>
    <row r="409" ht="12" hidden="1">
      <c r="D409" s="229"/>
    </row>
    <row r="410" ht="12" hidden="1">
      <c r="D410" s="229"/>
    </row>
    <row r="411" ht="12" hidden="1">
      <c r="D411" s="229"/>
    </row>
    <row r="412" ht="12" hidden="1">
      <c r="D412" s="229"/>
    </row>
    <row r="413" ht="12" hidden="1">
      <c r="D413" s="229"/>
    </row>
    <row r="414" ht="12" hidden="1">
      <c r="D414" s="229"/>
    </row>
    <row r="415" ht="12" hidden="1">
      <c r="D415" s="229"/>
    </row>
    <row r="416" ht="12" hidden="1">
      <c r="D416" s="229"/>
    </row>
    <row r="417" ht="12" hidden="1">
      <c r="D417" s="229"/>
    </row>
    <row r="418" ht="12" hidden="1">
      <c r="D418" s="229"/>
    </row>
    <row r="419" ht="12" hidden="1">
      <c r="D419" s="229"/>
    </row>
    <row r="420" ht="12" hidden="1">
      <c r="D420" s="229"/>
    </row>
    <row r="421" ht="12" hidden="1">
      <c r="D421" s="229"/>
    </row>
    <row r="422" ht="12" hidden="1">
      <c r="D422" s="229"/>
    </row>
    <row r="423" ht="12" hidden="1">
      <c r="D423" s="229"/>
    </row>
    <row r="424" ht="12" hidden="1">
      <c r="D424" s="229"/>
    </row>
    <row r="425" ht="12" hidden="1">
      <c r="D425" s="229"/>
    </row>
    <row r="426" ht="12" hidden="1">
      <c r="D426" s="229"/>
    </row>
    <row r="427" ht="12" hidden="1">
      <c r="D427" s="229"/>
    </row>
    <row r="428" ht="12" hidden="1">
      <c r="D428" s="229"/>
    </row>
    <row r="429" ht="12" hidden="1">
      <c r="D429" s="229"/>
    </row>
    <row r="430" ht="12" hidden="1">
      <c r="D430" s="229"/>
    </row>
    <row r="431" ht="12" hidden="1">
      <c r="D431" s="229"/>
    </row>
    <row r="432" ht="12" hidden="1">
      <c r="D432" s="229"/>
    </row>
    <row r="433" ht="12" hidden="1">
      <c r="D433" s="229"/>
    </row>
    <row r="434" ht="12" hidden="1">
      <c r="D434" s="229"/>
    </row>
    <row r="435" ht="12" hidden="1">
      <c r="D435" s="229"/>
    </row>
    <row r="436" ht="12" hidden="1">
      <c r="D436" s="229"/>
    </row>
    <row r="437" ht="12" hidden="1">
      <c r="D437" s="229"/>
    </row>
    <row r="438" ht="12" hidden="1">
      <c r="D438" s="229"/>
    </row>
    <row r="439" ht="12" hidden="1">
      <c r="D439" s="229"/>
    </row>
    <row r="440" ht="12" hidden="1">
      <c r="D440" s="229"/>
    </row>
    <row r="441" ht="12" hidden="1">
      <c r="D441" s="229"/>
    </row>
    <row r="442" ht="12" hidden="1">
      <c r="D442" s="229"/>
    </row>
    <row r="443" ht="12" hidden="1">
      <c r="D443" s="229"/>
    </row>
    <row r="444" ht="12" hidden="1">
      <c r="D444" s="229"/>
    </row>
    <row r="445" ht="12" hidden="1">
      <c r="D445" s="229"/>
    </row>
    <row r="446" ht="12" hidden="1">
      <c r="D446" s="229"/>
    </row>
    <row r="447" ht="12" hidden="1">
      <c r="D447" s="229"/>
    </row>
    <row r="448" ht="12" hidden="1">
      <c r="D448" s="229"/>
    </row>
    <row r="449" ht="12" hidden="1">
      <c r="D449" s="229"/>
    </row>
    <row r="450" ht="12" hidden="1">
      <c r="D450" s="229"/>
    </row>
    <row r="451" ht="12" hidden="1">
      <c r="D451" s="229"/>
    </row>
    <row r="452" ht="12" hidden="1">
      <c r="D452" s="229"/>
    </row>
    <row r="453" ht="12" hidden="1">
      <c r="D453" s="229"/>
    </row>
    <row r="454" ht="12" hidden="1">
      <c r="D454" s="229"/>
    </row>
    <row r="455" ht="12" hidden="1">
      <c r="D455" s="229"/>
    </row>
    <row r="456" ht="12" hidden="1">
      <c r="D456" s="229"/>
    </row>
    <row r="457" ht="12" hidden="1">
      <c r="D457" s="229"/>
    </row>
    <row r="458" ht="12" hidden="1">
      <c r="D458" s="229"/>
    </row>
    <row r="459" ht="12" hidden="1">
      <c r="D459" s="229"/>
    </row>
    <row r="460" ht="12" hidden="1">
      <c r="D460" s="229"/>
    </row>
    <row r="461" ht="12" hidden="1">
      <c r="D461" s="229"/>
    </row>
    <row r="462" ht="12" hidden="1">
      <c r="D462" s="229"/>
    </row>
    <row r="463" ht="12" hidden="1">
      <c r="D463" s="229"/>
    </row>
    <row r="464" ht="12" hidden="1">
      <c r="D464" s="229"/>
    </row>
    <row r="465" ht="12" hidden="1">
      <c r="D465" s="229"/>
    </row>
    <row r="466" ht="12" hidden="1">
      <c r="D466" s="229"/>
    </row>
    <row r="467" ht="12" hidden="1">
      <c r="D467" s="229"/>
    </row>
    <row r="468" ht="12" hidden="1">
      <c r="D468" s="229"/>
    </row>
    <row r="469" ht="12" hidden="1">
      <c r="D469" s="229"/>
    </row>
    <row r="470" ht="12" hidden="1">
      <c r="D470" s="229"/>
    </row>
    <row r="471" ht="12" hidden="1">
      <c r="D471" s="229"/>
    </row>
    <row r="472" ht="12" hidden="1">
      <c r="D472" s="229"/>
    </row>
    <row r="473" ht="12" hidden="1">
      <c r="D473" s="229"/>
    </row>
    <row r="474" ht="12" hidden="1">
      <c r="D474" s="229"/>
    </row>
    <row r="475" ht="12" hidden="1">
      <c r="D475" s="229"/>
    </row>
    <row r="476" ht="12" hidden="1">
      <c r="D476" s="229"/>
    </row>
    <row r="477" ht="12" hidden="1">
      <c r="D477" s="229"/>
    </row>
    <row r="478" ht="12" hidden="1">
      <c r="D478" s="229"/>
    </row>
    <row r="479" ht="12" hidden="1">
      <c r="D479" s="229"/>
    </row>
    <row r="480" ht="12" hidden="1">
      <c r="D480" s="229"/>
    </row>
    <row r="481" ht="12" hidden="1">
      <c r="D481" s="229"/>
    </row>
    <row r="482" ht="12" hidden="1">
      <c r="D482" s="229"/>
    </row>
    <row r="483" ht="12" hidden="1">
      <c r="D483" s="229"/>
    </row>
    <row r="484" ht="12" hidden="1">
      <c r="D484" s="229"/>
    </row>
    <row r="485" ht="12" hidden="1">
      <c r="D485" s="229"/>
    </row>
    <row r="486" ht="12" hidden="1">
      <c r="D486" s="229"/>
    </row>
    <row r="487" ht="12" hidden="1">
      <c r="D487" s="229"/>
    </row>
    <row r="488" ht="12" hidden="1">
      <c r="D488" s="229"/>
    </row>
    <row r="489" ht="12" hidden="1">
      <c r="D489" s="229"/>
    </row>
    <row r="490" ht="12" hidden="1">
      <c r="D490" s="229"/>
    </row>
    <row r="491" ht="12" hidden="1">
      <c r="D491" s="229"/>
    </row>
    <row r="492" ht="12" hidden="1">
      <c r="D492" s="229"/>
    </row>
    <row r="493" ht="12" hidden="1">
      <c r="D493" s="229"/>
    </row>
    <row r="494" ht="12" hidden="1">
      <c r="D494" s="229"/>
    </row>
    <row r="495" ht="12" hidden="1">
      <c r="D495" s="229"/>
    </row>
    <row r="496" ht="12" hidden="1">
      <c r="D496" s="229"/>
    </row>
    <row r="497" ht="12" hidden="1">
      <c r="D497" s="229"/>
    </row>
    <row r="498" ht="12" hidden="1">
      <c r="D498" s="229"/>
    </row>
    <row r="499" ht="12" hidden="1">
      <c r="D499" s="229"/>
    </row>
    <row r="500" ht="12" hidden="1">
      <c r="D500" s="229"/>
    </row>
    <row r="501" ht="12" hidden="1">
      <c r="D501" s="229"/>
    </row>
    <row r="502" ht="12" hidden="1">
      <c r="D502" s="229"/>
    </row>
    <row r="503" ht="12" hidden="1">
      <c r="D503" s="229"/>
    </row>
    <row r="504" ht="12" hidden="1">
      <c r="D504" s="229"/>
    </row>
    <row r="505" ht="12" hidden="1">
      <c r="D505" s="229"/>
    </row>
    <row r="506" ht="12" hidden="1">
      <c r="D506" s="229"/>
    </row>
    <row r="507" ht="12" hidden="1">
      <c r="D507" s="229"/>
    </row>
    <row r="508" ht="12" hidden="1">
      <c r="D508" s="229"/>
    </row>
    <row r="509" ht="12" hidden="1">
      <c r="D509" s="229"/>
    </row>
    <row r="510" ht="12" hidden="1">
      <c r="D510" s="229"/>
    </row>
    <row r="511" ht="12" hidden="1">
      <c r="D511" s="229"/>
    </row>
    <row r="512" ht="12" hidden="1">
      <c r="D512" s="229"/>
    </row>
    <row r="513" ht="12" hidden="1">
      <c r="D513" s="229"/>
    </row>
    <row r="514" ht="12" hidden="1">
      <c r="D514" s="229"/>
    </row>
    <row r="515" ht="12" hidden="1">
      <c r="D515" s="229"/>
    </row>
    <row r="516" ht="12" hidden="1">
      <c r="D516" s="229"/>
    </row>
    <row r="517" ht="12" hidden="1">
      <c r="D517" s="229"/>
    </row>
    <row r="518" ht="12" hidden="1">
      <c r="D518" s="229"/>
    </row>
    <row r="519" ht="12" hidden="1">
      <c r="D519" s="229"/>
    </row>
    <row r="520" ht="12" hidden="1">
      <c r="D520" s="229"/>
    </row>
    <row r="521" ht="12" hidden="1">
      <c r="D521" s="229"/>
    </row>
    <row r="522" ht="12"/>
    <row r="523" ht="12"/>
    <row r="524" ht="12"/>
  </sheetData>
  <sheetProtection sheet="1" objects="1" scenarios="1"/>
  <mergeCells count="12">
    <mergeCell ref="A140:C140"/>
    <mergeCell ref="E1:E2"/>
    <mergeCell ref="A136:B136"/>
    <mergeCell ref="A137:B137"/>
    <mergeCell ref="A5:C5"/>
    <mergeCell ref="A138:C138"/>
    <mergeCell ref="A1:B1"/>
    <mergeCell ref="A2:B2"/>
    <mergeCell ref="A3:C3"/>
    <mergeCell ref="F1:F2"/>
    <mergeCell ref="E3:E11"/>
    <mergeCell ref="F3:F11"/>
  </mergeCells>
  <conditionalFormatting sqref="C31">
    <cfRule type="expression" priority="14" dxfId="2" stopIfTrue="1">
      <formula>$C$39&gt;0</formula>
    </cfRule>
  </conditionalFormatting>
  <conditionalFormatting sqref="A31:B31">
    <cfRule type="expression" priority="13" dxfId="10" stopIfTrue="1">
      <formula>$C$39&gt;0</formula>
    </cfRule>
  </conditionalFormatting>
  <conditionalFormatting sqref="A32:B32">
    <cfRule type="expression" priority="12" dxfId="9" stopIfTrue="1">
      <formula>$C$39&gt;0</formula>
    </cfRule>
  </conditionalFormatting>
  <conditionalFormatting sqref="C32">
    <cfRule type="expression" priority="11" dxfId="4" stopIfTrue="1">
      <formula>$C$39&gt;0</formula>
    </cfRule>
  </conditionalFormatting>
  <conditionalFormatting sqref="A34:B34">
    <cfRule type="expression" priority="10" dxfId="3" stopIfTrue="1">
      <formula>$C$40&gt;0</formula>
    </cfRule>
  </conditionalFormatting>
  <conditionalFormatting sqref="C34">
    <cfRule type="expression" priority="9" dxfId="2" stopIfTrue="1">
      <formula>$C$40&gt;0</formula>
    </cfRule>
  </conditionalFormatting>
  <conditionalFormatting sqref="A35:B35">
    <cfRule type="expression" priority="8" dxfId="5" stopIfTrue="1">
      <formula>$C$40&gt;0</formula>
    </cfRule>
  </conditionalFormatting>
  <conditionalFormatting sqref="C35">
    <cfRule type="expression" priority="7" dxfId="4" stopIfTrue="1">
      <formula>$C$40&gt;0</formula>
    </cfRule>
  </conditionalFormatting>
  <conditionalFormatting sqref="A37:B37">
    <cfRule type="expression" priority="6" dxfId="3" stopIfTrue="1">
      <formula>$C$41&gt;0</formula>
    </cfRule>
  </conditionalFormatting>
  <conditionalFormatting sqref="C37:C41">
    <cfRule type="expression" priority="5" dxfId="2" stopIfTrue="1">
      <formula>$C$41&gt;0</formula>
    </cfRule>
  </conditionalFormatting>
  <conditionalFormatting sqref="A38:B38">
    <cfRule type="expression" priority="4" dxfId="1" stopIfTrue="1">
      <formula>$C$41&gt;0</formula>
    </cfRule>
  </conditionalFormatting>
  <conditionalFormatting sqref="E1:F11">
    <cfRule type="expression" priority="1" dxfId="23">
      <formula>$F$1&lt;&gt;""</formula>
    </cfRule>
  </conditionalFormatting>
  <printOptions horizontalCentered="1" verticalCentered="1"/>
  <pageMargins left="0.3937007874015748" right="0.3937007874015748" top="0.3937007874015748" bottom="0.984251968503937" header="0.1968503937007874" footer="0.7874015748031497"/>
  <pageSetup horizontalDpi="360" verticalDpi="360" orientation="portrait" scale="85" r:id="rId3"/>
  <headerFooter alignWithMargins="0">
    <oddFooter>&amp;C&amp;A  -  Página &amp;P</oddFooter>
  </headerFooter>
  <rowBreaks count="2" manualBreakCount="2">
    <brk id="135" max="255" man="1"/>
    <brk id="356" max="25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 OFFICE</dc:creator>
  <cp:keywords/>
  <dc:description/>
  <cp:lastModifiedBy>Nestor Alexander Morales Gomez</cp:lastModifiedBy>
  <cp:lastPrinted>2020-12-31T14:29:09Z</cp:lastPrinted>
  <dcterms:created xsi:type="dcterms:W3CDTF">1998-10-15T22:16:20Z</dcterms:created>
  <dcterms:modified xsi:type="dcterms:W3CDTF">2021-01-04T13:48:55Z</dcterms:modified>
  <cp:category/>
  <cp:version/>
  <cp:contentType/>
  <cp:contentStatus/>
</cp:coreProperties>
</file>